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xr:revisionPtr revIDLastSave="0" documentId="8_{A48BC1C8-20BD-4241-81F1-001525DFFE97}" xr6:coauthVersionLast="47" xr6:coauthVersionMax="47" xr10:uidLastSave="{00000000-0000-0000-0000-000000000000}"/>
  <bookViews>
    <workbookView xWindow="2730" yWindow="2730" windowWidth="23280" windowHeight="15915" xr2:uid="{00000000-000D-0000-FFFF-FFFF00000000}"/>
  </bookViews>
  <sheets>
    <sheet name="Saola" sheetId="8" r:id="rId1"/>
    <sheet name="Sheet1" sheetId="6" state="hidden" r:id="rId2"/>
    <sheet name="ITS" sheetId="5" state="hidden" r:id="rId3"/>
  </sheets>
  <definedNames>
    <definedName name="_xlnm._FilterDatabase" localSheetId="2" hidden="1">ITS!$C$2:$BB$316</definedName>
    <definedName name="_xlnm._FilterDatabase" localSheetId="0" hidden="1">Saola!$D$1:$D$2</definedName>
    <definedName name="cutoff">Sheet1!$A$1:$B$204</definedName>
    <definedName name="VGMcut">ITS!$A:$B</definedName>
    <definedName name="Z_CBA6CB66_7B75_40E5_AEA8_385F1DA9F10A_.wvu.FilterData" localSheetId="0" hidden="1">Saola!$A$2:$O$36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36" i="5" l="1"/>
  <c r="AX236" i="5"/>
  <c r="AW236" i="5"/>
  <c r="AV236" i="5"/>
  <c r="AU236" i="5"/>
  <c r="AT236" i="5"/>
  <c r="AS236" i="5"/>
  <c r="AR236" i="5"/>
  <c r="AQ236" i="5"/>
  <c r="AP236" i="5"/>
  <c r="AO236" i="5"/>
  <c r="AN236" i="5"/>
  <c r="AM236" i="5"/>
  <c r="AL236" i="5"/>
  <c r="AK236" i="5"/>
  <c r="AJ236" i="5"/>
  <c r="AI236" i="5"/>
  <c r="AH236" i="5"/>
  <c r="AG236" i="5"/>
  <c r="AF236" i="5"/>
  <c r="AE236" i="5"/>
  <c r="AD236" i="5"/>
  <c r="AC236" i="5"/>
  <c r="AB236" i="5"/>
  <c r="AA236" i="5"/>
  <c r="Z236" i="5"/>
  <c r="Y236" i="5"/>
  <c r="X236" i="5"/>
  <c r="W236" i="5"/>
  <c r="V236" i="5"/>
  <c r="U236" i="5"/>
  <c r="T236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F236" i="5"/>
  <c r="E236" i="5"/>
  <c r="D236" i="5"/>
  <c r="A236" i="5" s="1"/>
  <c r="C236" i="5"/>
  <c r="B236" i="5"/>
  <c r="AY235" i="5"/>
  <c r="AX235" i="5"/>
  <c r="AW235" i="5"/>
  <c r="AV235" i="5"/>
  <c r="AU235" i="5"/>
  <c r="AT235" i="5"/>
  <c r="AS235" i="5"/>
  <c r="AR235" i="5"/>
  <c r="AQ235" i="5"/>
  <c r="AP235" i="5"/>
  <c r="AO235" i="5"/>
  <c r="AN235" i="5"/>
  <c r="AM235" i="5"/>
  <c r="AL235" i="5"/>
  <c r="AK235" i="5"/>
  <c r="AJ235" i="5"/>
  <c r="AI235" i="5"/>
  <c r="AH235" i="5"/>
  <c r="AG235" i="5"/>
  <c r="AF235" i="5"/>
  <c r="AE235" i="5"/>
  <c r="AD235" i="5"/>
  <c r="AC235" i="5"/>
  <c r="AB235" i="5"/>
  <c r="AA235" i="5"/>
  <c r="Z235" i="5"/>
  <c r="Y235" i="5"/>
  <c r="X235" i="5"/>
  <c r="W235" i="5"/>
  <c r="V235" i="5"/>
  <c r="U235" i="5"/>
  <c r="T235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B235" i="5"/>
  <c r="A235" i="5"/>
  <c r="AY234" i="5"/>
  <c r="AX234" i="5"/>
  <c r="AW234" i="5"/>
  <c r="AV234" i="5"/>
  <c r="AU234" i="5"/>
  <c r="AT234" i="5"/>
  <c r="AS234" i="5"/>
  <c r="AR234" i="5"/>
  <c r="AQ234" i="5"/>
  <c r="AP234" i="5"/>
  <c r="AO234" i="5"/>
  <c r="AN234" i="5"/>
  <c r="AM234" i="5"/>
  <c r="AL234" i="5"/>
  <c r="AK234" i="5"/>
  <c r="AJ234" i="5"/>
  <c r="AI234" i="5"/>
  <c r="AH234" i="5"/>
  <c r="AG234" i="5"/>
  <c r="AF234" i="5"/>
  <c r="AE234" i="5"/>
  <c r="AD234" i="5"/>
  <c r="AC234" i="5"/>
  <c r="AB234" i="5"/>
  <c r="AA234" i="5"/>
  <c r="Z234" i="5"/>
  <c r="Y234" i="5"/>
  <c r="X234" i="5"/>
  <c r="W234" i="5"/>
  <c r="V234" i="5"/>
  <c r="U234" i="5"/>
  <c r="T234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A234" i="5" s="1"/>
  <c r="C234" i="5"/>
  <c r="B234" i="5"/>
  <c r="AY233" i="5"/>
  <c r="AX233" i="5"/>
  <c r="AW233" i="5"/>
  <c r="AV233" i="5"/>
  <c r="AU233" i="5"/>
  <c r="AT233" i="5"/>
  <c r="AS233" i="5"/>
  <c r="AR233" i="5"/>
  <c r="AQ233" i="5"/>
  <c r="AP233" i="5"/>
  <c r="AO233" i="5"/>
  <c r="AN233" i="5"/>
  <c r="AM233" i="5"/>
  <c r="AL233" i="5"/>
  <c r="AK233" i="5"/>
  <c r="AJ233" i="5"/>
  <c r="AI233" i="5"/>
  <c r="AH233" i="5"/>
  <c r="AG233" i="5"/>
  <c r="AF233" i="5"/>
  <c r="AE233" i="5"/>
  <c r="AD233" i="5"/>
  <c r="AC233" i="5"/>
  <c r="AB233" i="5"/>
  <c r="AA233" i="5"/>
  <c r="Z233" i="5"/>
  <c r="Y233" i="5"/>
  <c r="X233" i="5"/>
  <c r="W233" i="5"/>
  <c r="V233" i="5"/>
  <c r="U233" i="5"/>
  <c r="T233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A233" i="5" s="1"/>
  <c r="B233" i="5"/>
  <c r="AY232" i="5"/>
  <c r="AX232" i="5"/>
  <c r="AW232" i="5"/>
  <c r="AV232" i="5"/>
  <c r="AU232" i="5"/>
  <c r="AT232" i="5"/>
  <c r="AS232" i="5"/>
  <c r="AR232" i="5"/>
  <c r="AQ232" i="5"/>
  <c r="AP232" i="5"/>
  <c r="AO232" i="5"/>
  <c r="AN232" i="5"/>
  <c r="AM232" i="5"/>
  <c r="AL232" i="5"/>
  <c r="AK232" i="5"/>
  <c r="AJ232" i="5"/>
  <c r="AI232" i="5"/>
  <c r="AH232" i="5"/>
  <c r="AG232" i="5"/>
  <c r="AF232" i="5"/>
  <c r="AE232" i="5"/>
  <c r="AD232" i="5"/>
  <c r="AC232" i="5"/>
  <c r="AB232" i="5"/>
  <c r="AA232" i="5"/>
  <c r="Z232" i="5"/>
  <c r="Y232" i="5"/>
  <c r="X232" i="5"/>
  <c r="W232" i="5"/>
  <c r="V232" i="5"/>
  <c r="U232" i="5"/>
  <c r="T232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A232" i="5" s="1"/>
  <c r="B232" i="5"/>
  <c r="AY231" i="5"/>
  <c r="AX231" i="5"/>
  <c r="AW231" i="5"/>
  <c r="AV231" i="5"/>
  <c r="AU231" i="5"/>
  <c r="AT231" i="5"/>
  <c r="AS231" i="5"/>
  <c r="AR231" i="5"/>
  <c r="AQ231" i="5"/>
  <c r="AP231" i="5"/>
  <c r="AO231" i="5"/>
  <c r="AN231" i="5"/>
  <c r="AM231" i="5"/>
  <c r="AL231" i="5"/>
  <c r="AK231" i="5"/>
  <c r="AJ231" i="5"/>
  <c r="AI231" i="5"/>
  <c r="AH231" i="5"/>
  <c r="AG231" i="5"/>
  <c r="AF231" i="5"/>
  <c r="AE231" i="5"/>
  <c r="AD231" i="5"/>
  <c r="AC231" i="5"/>
  <c r="AB231" i="5"/>
  <c r="AA231" i="5"/>
  <c r="Z231" i="5"/>
  <c r="Y231" i="5"/>
  <c r="X231" i="5"/>
  <c r="W231" i="5"/>
  <c r="V231" i="5"/>
  <c r="U231" i="5"/>
  <c r="T231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B231" i="5"/>
  <c r="A231" i="5"/>
  <c r="AY230" i="5"/>
  <c r="AX230" i="5"/>
  <c r="AW230" i="5"/>
  <c r="AV230" i="5"/>
  <c r="AU230" i="5"/>
  <c r="AT230" i="5"/>
  <c r="AS230" i="5"/>
  <c r="AR230" i="5"/>
  <c r="AQ230" i="5"/>
  <c r="AP230" i="5"/>
  <c r="AO230" i="5"/>
  <c r="AN230" i="5"/>
  <c r="AM230" i="5"/>
  <c r="AL230" i="5"/>
  <c r="AK230" i="5"/>
  <c r="AJ230" i="5"/>
  <c r="AI230" i="5"/>
  <c r="AH230" i="5"/>
  <c r="AG230" i="5"/>
  <c r="AF230" i="5"/>
  <c r="AE230" i="5"/>
  <c r="AD230" i="5"/>
  <c r="AC230" i="5"/>
  <c r="AB230" i="5"/>
  <c r="AA230" i="5"/>
  <c r="Z230" i="5"/>
  <c r="Y230" i="5"/>
  <c r="X230" i="5"/>
  <c r="W230" i="5"/>
  <c r="V230" i="5"/>
  <c r="U230" i="5"/>
  <c r="T230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B230" i="5"/>
  <c r="A230" i="5"/>
  <c r="AY229" i="5"/>
  <c r="AX229" i="5"/>
  <c r="AW229" i="5"/>
  <c r="AV229" i="5"/>
  <c r="AU229" i="5"/>
  <c r="AT229" i="5"/>
  <c r="AS229" i="5"/>
  <c r="AR229" i="5"/>
  <c r="AQ229" i="5"/>
  <c r="AP229" i="5"/>
  <c r="AO229" i="5"/>
  <c r="AN229" i="5"/>
  <c r="AM229" i="5"/>
  <c r="AL229" i="5"/>
  <c r="AK229" i="5"/>
  <c r="AJ229" i="5"/>
  <c r="AI229" i="5"/>
  <c r="AH229" i="5"/>
  <c r="AG229" i="5"/>
  <c r="AF229" i="5"/>
  <c r="AE229" i="5"/>
  <c r="AD229" i="5"/>
  <c r="AC229" i="5"/>
  <c r="AB229" i="5"/>
  <c r="AA229" i="5"/>
  <c r="Z229" i="5"/>
  <c r="Y229" i="5"/>
  <c r="X229" i="5"/>
  <c r="W229" i="5"/>
  <c r="V229" i="5"/>
  <c r="U229" i="5"/>
  <c r="T229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A229" i="5" s="1"/>
  <c r="C229" i="5"/>
  <c r="B229" i="5"/>
  <c r="AY228" i="5"/>
  <c r="AX228" i="5"/>
  <c r="AW228" i="5"/>
  <c r="AV228" i="5"/>
  <c r="AU228" i="5"/>
  <c r="AT228" i="5"/>
  <c r="AS228" i="5"/>
  <c r="AR228" i="5"/>
  <c r="AQ228" i="5"/>
  <c r="AP228" i="5"/>
  <c r="AO228" i="5"/>
  <c r="AN228" i="5"/>
  <c r="AM228" i="5"/>
  <c r="AL228" i="5"/>
  <c r="AK228" i="5"/>
  <c r="AJ228" i="5"/>
  <c r="AI228" i="5"/>
  <c r="AH228" i="5"/>
  <c r="AG228" i="5"/>
  <c r="AF228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A228" i="5"/>
  <c r="AY227" i="5"/>
  <c r="AX227" i="5"/>
  <c r="AW227" i="5"/>
  <c r="AV227" i="5"/>
  <c r="AU227" i="5"/>
  <c r="AT227" i="5"/>
  <c r="AS227" i="5"/>
  <c r="AR227" i="5"/>
  <c r="AQ227" i="5"/>
  <c r="AP227" i="5"/>
  <c r="AO227" i="5"/>
  <c r="AN227" i="5"/>
  <c r="AM227" i="5"/>
  <c r="AL227" i="5"/>
  <c r="AK227" i="5"/>
  <c r="AJ227" i="5"/>
  <c r="AI227" i="5"/>
  <c r="AH227" i="5"/>
  <c r="AG227" i="5"/>
  <c r="AF227" i="5"/>
  <c r="AE227" i="5"/>
  <c r="AD227" i="5"/>
  <c r="AC227" i="5"/>
  <c r="AB227" i="5"/>
  <c r="AA227" i="5"/>
  <c r="Z227" i="5"/>
  <c r="Y227" i="5"/>
  <c r="X227" i="5"/>
  <c r="W227" i="5"/>
  <c r="V227" i="5"/>
  <c r="U227" i="5"/>
  <c r="T227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A227" i="5" s="1"/>
  <c r="B227" i="5"/>
  <c r="AY226" i="5"/>
  <c r="AX226" i="5"/>
  <c r="AW226" i="5"/>
  <c r="AV226" i="5"/>
  <c r="AU226" i="5"/>
  <c r="AT226" i="5"/>
  <c r="AS226" i="5"/>
  <c r="AR226" i="5"/>
  <c r="AQ226" i="5"/>
  <c r="AP226" i="5"/>
  <c r="AO226" i="5"/>
  <c r="AN226" i="5"/>
  <c r="AM226" i="5"/>
  <c r="AL226" i="5"/>
  <c r="AK226" i="5"/>
  <c r="AJ226" i="5"/>
  <c r="AI226" i="5"/>
  <c r="AH226" i="5"/>
  <c r="AG226" i="5"/>
  <c r="AF226" i="5"/>
  <c r="AE226" i="5"/>
  <c r="AD226" i="5"/>
  <c r="AC226" i="5"/>
  <c r="AB226" i="5"/>
  <c r="AA226" i="5"/>
  <c r="Z226" i="5"/>
  <c r="Y226" i="5"/>
  <c r="X226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A226" i="5" s="1"/>
  <c r="C226" i="5"/>
  <c r="B226" i="5"/>
  <c r="AY225" i="5"/>
  <c r="AX225" i="5"/>
  <c r="AW225" i="5"/>
  <c r="AV225" i="5"/>
  <c r="AU225" i="5"/>
  <c r="AT225" i="5"/>
  <c r="AS225" i="5"/>
  <c r="AR225" i="5"/>
  <c r="AQ225" i="5"/>
  <c r="AP225" i="5"/>
  <c r="AO225" i="5"/>
  <c r="AN225" i="5"/>
  <c r="AM225" i="5"/>
  <c r="AL225" i="5"/>
  <c r="AK225" i="5"/>
  <c r="AJ225" i="5"/>
  <c r="AI225" i="5"/>
  <c r="AH225" i="5"/>
  <c r="AG225" i="5"/>
  <c r="AF225" i="5"/>
  <c r="AE225" i="5"/>
  <c r="AD225" i="5"/>
  <c r="AC225" i="5"/>
  <c r="AB225" i="5"/>
  <c r="AA225" i="5"/>
  <c r="Z225" i="5"/>
  <c r="Y225" i="5"/>
  <c r="X225" i="5"/>
  <c r="W225" i="5"/>
  <c r="V225" i="5"/>
  <c r="U225" i="5"/>
  <c r="T225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C225" i="5"/>
  <c r="A225" i="5" s="1"/>
  <c r="B225" i="5"/>
  <c r="AY224" i="5"/>
  <c r="AX224" i="5"/>
  <c r="AW224" i="5"/>
  <c r="AV224" i="5"/>
  <c r="AU224" i="5"/>
  <c r="AT224" i="5"/>
  <c r="AS224" i="5"/>
  <c r="AR224" i="5"/>
  <c r="AQ224" i="5"/>
  <c r="AP224" i="5"/>
  <c r="AO224" i="5"/>
  <c r="AN224" i="5"/>
  <c r="AM224" i="5"/>
  <c r="AL224" i="5"/>
  <c r="AK224" i="5"/>
  <c r="AJ224" i="5"/>
  <c r="AI224" i="5"/>
  <c r="AH224" i="5"/>
  <c r="AG224" i="5"/>
  <c r="AF224" i="5"/>
  <c r="AE224" i="5"/>
  <c r="AD224" i="5"/>
  <c r="AC224" i="5"/>
  <c r="AB224" i="5"/>
  <c r="AA224" i="5"/>
  <c r="Z224" i="5"/>
  <c r="Y224" i="5"/>
  <c r="X224" i="5"/>
  <c r="W224" i="5"/>
  <c r="V224" i="5"/>
  <c r="U224" i="5"/>
  <c r="T224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C224" i="5"/>
  <c r="A224" i="5" s="1"/>
  <c r="B224" i="5"/>
  <c r="AY223" i="5"/>
  <c r="AX223" i="5"/>
  <c r="AW223" i="5"/>
  <c r="AV223" i="5"/>
  <c r="AU223" i="5"/>
  <c r="AT223" i="5"/>
  <c r="AS223" i="5"/>
  <c r="AR223" i="5"/>
  <c r="AQ223" i="5"/>
  <c r="AP223" i="5"/>
  <c r="AO223" i="5"/>
  <c r="AN223" i="5"/>
  <c r="AM223" i="5"/>
  <c r="AL223" i="5"/>
  <c r="AK223" i="5"/>
  <c r="AJ223" i="5"/>
  <c r="AI223" i="5"/>
  <c r="AH223" i="5"/>
  <c r="AG223" i="5"/>
  <c r="AF223" i="5"/>
  <c r="AE223" i="5"/>
  <c r="AD223" i="5"/>
  <c r="AC223" i="5"/>
  <c r="AB223" i="5"/>
  <c r="AA223" i="5"/>
  <c r="Z223" i="5"/>
  <c r="Y223" i="5"/>
  <c r="X223" i="5"/>
  <c r="W223" i="5"/>
  <c r="V223" i="5"/>
  <c r="U223" i="5"/>
  <c r="T223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B223" i="5"/>
  <c r="A223" i="5"/>
  <c r="AY222" i="5"/>
  <c r="AX222" i="5"/>
  <c r="AW222" i="5"/>
  <c r="AV222" i="5"/>
  <c r="AU222" i="5"/>
  <c r="AT222" i="5"/>
  <c r="AS222" i="5"/>
  <c r="AR222" i="5"/>
  <c r="AQ222" i="5"/>
  <c r="AP222" i="5"/>
  <c r="AO222" i="5"/>
  <c r="AN222" i="5"/>
  <c r="AM222" i="5"/>
  <c r="AL222" i="5"/>
  <c r="AK222" i="5"/>
  <c r="AJ222" i="5"/>
  <c r="AI222" i="5"/>
  <c r="AH222" i="5"/>
  <c r="AG222" i="5"/>
  <c r="AF222" i="5"/>
  <c r="AE222" i="5"/>
  <c r="AD222" i="5"/>
  <c r="AC222" i="5"/>
  <c r="AB222" i="5"/>
  <c r="AA222" i="5"/>
  <c r="Z222" i="5"/>
  <c r="Y222" i="5"/>
  <c r="X222" i="5"/>
  <c r="W222" i="5"/>
  <c r="V222" i="5"/>
  <c r="U222" i="5"/>
  <c r="T222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C222" i="5"/>
  <c r="B222" i="5"/>
  <c r="A222" i="5"/>
  <c r="AY221" i="5"/>
  <c r="AX221" i="5"/>
  <c r="AW221" i="5"/>
  <c r="AV221" i="5"/>
  <c r="AU221" i="5"/>
  <c r="AT221" i="5"/>
  <c r="AS221" i="5"/>
  <c r="AR221" i="5"/>
  <c r="AQ221" i="5"/>
  <c r="AP221" i="5"/>
  <c r="AO221" i="5"/>
  <c r="AN221" i="5"/>
  <c r="AM221" i="5"/>
  <c r="AL221" i="5"/>
  <c r="AK221" i="5"/>
  <c r="AJ221" i="5"/>
  <c r="AI221" i="5"/>
  <c r="AH221" i="5"/>
  <c r="AG221" i="5"/>
  <c r="AF221" i="5"/>
  <c r="AE221" i="5"/>
  <c r="AD221" i="5"/>
  <c r="AC221" i="5"/>
  <c r="AB221" i="5"/>
  <c r="AA221" i="5"/>
  <c r="Z221" i="5"/>
  <c r="Y221" i="5"/>
  <c r="X221" i="5"/>
  <c r="W221" i="5"/>
  <c r="V221" i="5"/>
  <c r="U221" i="5"/>
  <c r="T221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A221" i="5" s="1"/>
  <c r="C221" i="5"/>
  <c r="B221" i="5"/>
  <c r="AY220" i="5"/>
  <c r="AX220" i="5"/>
  <c r="AW220" i="5"/>
  <c r="AV220" i="5"/>
  <c r="AU220" i="5"/>
  <c r="AT220" i="5"/>
  <c r="AS220" i="5"/>
  <c r="AR220" i="5"/>
  <c r="AQ220" i="5"/>
  <c r="AP220" i="5"/>
  <c r="AO220" i="5"/>
  <c r="AN220" i="5"/>
  <c r="AM220" i="5"/>
  <c r="AL220" i="5"/>
  <c r="AK220" i="5"/>
  <c r="AJ220" i="5"/>
  <c r="AI220" i="5"/>
  <c r="AH220" i="5"/>
  <c r="AG220" i="5"/>
  <c r="AF220" i="5"/>
  <c r="AE220" i="5"/>
  <c r="AD220" i="5"/>
  <c r="AC220" i="5"/>
  <c r="AB220" i="5"/>
  <c r="AA220" i="5"/>
  <c r="Z220" i="5"/>
  <c r="Y220" i="5"/>
  <c r="X220" i="5"/>
  <c r="W220" i="5"/>
  <c r="V220" i="5"/>
  <c r="U220" i="5"/>
  <c r="T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B220" i="5"/>
  <c r="A220" i="5"/>
  <c r="AY219" i="5"/>
  <c r="AX219" i="5"/>
  <c r="AW219" i="5"/>
  <c r="AV219" i="5"/>
  <c r="AU219" i="5"/>
  <c r="AT219" i="5"/>
  <c r="AS219" i="5"/>
  <c r="AR219" i="5"/>
  <c r="AQ219" i="5"/>
  <c r="AP219" i="5"/>
  <c r="AO219" i="5"/>
  <c r="AN219" i="5"/>
  <c r="AM219" i="5"/>
  <c r="AL219" i="5"/>
  <c r="AK219" i="5"/>
  <c r="AJ219" i="5"/>
  <c r="AI219" i="5"/>
  <c r="AH219" i="5"/>
  <c r="AG219" i="5"/>
  <c r="AF219" i="5"/>
  <c r="AE219" i="5"/>
  <c r="AD219" i="5"/>
  <c r="AC219" i="5"/>
  <c r="AB219" i="5"/>
  <c r="AA219" i="5"/>
  <c r="Z219" i="5"/>
  <c r="Y219" i="5"/>
  <c r="X219" i="5"/>
  <c r="W219" i="5"/>
  <c r="V219" i="5"/>
  <c r="U219" i="5"/>
  <c r="T219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C219" i="5"/>
  <c r="A219" i="5" s="1"/>
  <c r="B219" i="5"/>
  <c r="AY218" i="5"/>
  <c r="AX218" i="5"/>
  <c r="AW218" i="5"/>
  <c r="AV218" i="5"/>
  <c r="AU218" i="5"/>
  <c r="AT218" i="5"/>
  <c r="AS218" i="5"/>
  <c r="AR218" i="5"/>
  <c r="AQ218" i="5"/>
  <c r="AP218" i="5"/>
  <c r="AO218" i="5"/>
  <c r="AN218" i="5"/>
  <c r="AM218" i="5"/>
  <c r="AL218" i="5"/>
  <c r="AK218" i="5"/>
  <c r="AJ218" i="5"/>
  <c r="AI218" i="5"/>
  <c r="AH218" i="5"/>
  <c r="AG218" i="5"/>
  <c r="AF218" i="5"/>
  <c r="AE218" i="5"/>
  <c r="AD218" i="5"/>
  <c r="AC218" i="5"/>
  <c r="AB218" i="5"/>
  <c r="AA218" i="5"/>
  <c r="Z218" i="5"/>
  <c r="Y218" i="5"/>
  <c r="X218" i="5"/>
  <c r="W218" i="5"/>
  <c r="V218" i="5"/>
  <c r="U218" i="5"/>
  <c r="T218" i="5"/>
  <c r="S218" i="5"/>
  <c r="R218" i="5"/>
  <c r="A218" i="5" s="1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C218" i="5"/>
  <c r="B218" i="5"/>
  <c r="AY217" i="5"/>
  <c r="AX217" i="5"/>
  <c r="AW217" i="5"/>
  <c r="AV217" i="5"/>
  <c r="AU217" i="5"/>
  <c r="AT217" i="5"/>
  <c r="AS217" i="5"/>
  <c r="AR217" i="5"/>
  <c r="AQ217" i="5"/>
  <c r="AP217" i="5"/>
  <c r="AO217" i="5"/>
  <c r="AN217" i="5"/>
  <c r="AM217" i="5"/>
  <c r="AL217" i="5"/>
  <c r="AK217" i="5"/>
  <c r="AJ217" i="5"/>
  <c r="AI217" i="5"/>
  <c r="AH217" i="5"/>
  <c r="AG217" i="5"/>
  <c r="AF217" i="5"/>
  <c r="AE217" i="5"/>
  <c r="AD217" i="5"/>
  <c r="AC217" i="5"/>
  <c r="AB217" i="5"/>
  <c r="AA217" i="5"/>
  <c r="Z217" i="5"/>
  <c r="Y217" i="5"/>
  <c r="X217" i="5"/>
  <c r="W217" i="5"/>
  <c r="V217" i="5"/>
  <c r="U217" i="5"/>
  <c r="T217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A217" i="5" s="1"/>
  <c r="B217" i="5"/>
  <c r="AY216" i="5"/>
  <c r="AX216" i="5"/>
  <c r="AW216" i="5"/>
  <c r="AV216" i="5"/>
  <c r="AU216" i="5"/>
  <c r="AT216" i="5"/>
  <c r="AS216" i="5"/>
  <c r="AR216" i="5"/>
  <c r="AQ216" i="5"/>
  <c r="AP216" i="5"/>
  <c r="AO216" i="5"/>
  <c r="AN216" i="5"/>
  <c r="AM216" i="5"/>
  <c r="AL216" i="5"/>
  <c r="AK216" i="5"/>
  <c r="AJ216" i="5"/>
  <c r="AI216" i="5"/>
  <c r="AH216" i="5"/>
  <c r="AG216" i="5"/>
  <c r="AF216" i="5"/>
  <c r="AE216" i="5"/>
  <c r="AD216" i="5"/>
  <c r="AC216" i="5"/>
  <c r="AB216" i="5"/>
  <c r="AA216" i="5"/>
  <c r="Z216" i="5"/>
  <c r="Y216" i="5"/>
  <c r="X216" i="5"/>
  <c r="W216" i="5"/>
  <c r="V216" i="5"/>
  <c r="U216" i="5"/>
  <c r="T216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C216" i="5"/>
  <c r="A216" i="5" s="1"/>
  <c r="B216" i="5"/>
  <c r="AY215" i="5"/>
  <c r="AX215" i="5"/>
  <c r="AW215" i="5"/>
  <c r="AV215" i="5"/>
  <c r="AU215" i="5"/>
  <c r="AT215" i="5"/>
  <c r="AS215" i="5"/>
  <c r="AR215" i="5"/>
  <c r="AQ215" i="5"/>
  <c r="AP215" i="5"/>
  <c r="AO215" i="5"/>
  <c r="AN215" i="5"/>
  <c r="AM215" i="5"/>
  <c r="AL215" i="5"/>
  <c r="AK215" i="5"/>
  <c r="AJ215" i="5"/>
  <c r="AI215" i="5"/>
  <c r="AH215" i="5"/>
  <c r="AG215" i="5"/>
  <c r="AF215" i="5"/>
  <c r="AE215" i="5"/>
  <c r="AD215" i="5"/>
  <c r="AC215" i="5"/>
  <c r="AB215" i="5"/>
  <c r="AA215" i="5"/>
  <c r="Z215" i="5"/>
  <c r="Y215" i="5"/>
  <c r="X215" i="5"/>
  <c r="W215" i="5"/>
  <c r="V215" i="5"/>
  <c r="U215" i="5"/>
  <c r="T215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B215" i="5"/>
  <c r="A215" i="5"/>
  <c r="AY214" i="5"/>
  <c r="AX214" i="5"/>
  <c r="AW214" i="5"/>
  <c r="AV214" i="5"/>
  <c r="AU214" i="5"/>
  <c r="AT214" i="5"/>
  <c r="AS214" i="5"/>
  <c r="AR214" i="5"/>
  <c r="AQ214" i="5"/>
  <c r="AP214" i="5"/>
  <c r="AO214" i="5"/>
  <c r="AN214" i="5"/>
  <c r="AM214" i="5"/>
  <c r="AL214" i="5"/>
  <c r="AK214" i="5"/>
  <c r="AJ214" i="5"/>
  <c r="AI214" i="5"/>
  <c r="AH214" i="5"/>
  <c r="AG214" i="5"/>
  <c r="AF214" i="5"/>
  <c r="AE214" i="5"/>
  <c r="AD214" i="5"/>
  <c r="AC214" i="5"/>
  <c r="AB214" i="5"/>
  <c r="AA214" i="5"/>
  <c r="Z214" i="5"/>
  <c r="Y214" i="5"/>
  <c r="X214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B214" i="5"/>
  <c r="A214" i="5"/>
  <c r="AY213" i="5"/>
  <c r="AX213" i="5"/>
  <c r="AW213" i="5"/>
  <c r="AV213" i="5"/>
  <c r="AU213" i="5"/>
  <c r="AT213" i="5"/>
  <c r="AS213" i="5"/>
  <c r="AR213" i="5"/>
  <c r="AQ213" i="5"/>
  <c r="AP213" i="5"/>
  <c r="AO213" i="5"/>
  <c r="AN213" i="5"/>
  <c r="AM213" i="5"/>
  <c r="AL213" i="5"/>
  <c r="AK213" i="5"/>
  <c r="AJ213" i="5"/>
  <c r="AI213" i="5"/>
  <c r="AH213" i="5"/>
  <c r="AG213" i="5"/>
  <c r="AF213" i="5"/>
  <c r="AE213" i="5"/>
  <c r="AD213" i="5"/>
  <c r="AC213" i="5"/>
  <c r="AB213" i="5"/>
  <c r="AA213" i="5"/>
  <c r="Z213" i="5"/>
  <c r="Y213" i="5"/>
  <c r="X213" i="5"/>
  <c r="W213" i="5"/>
  <c r="V213" i="5"/>
  <c r="U213" i="5"/>
  <c r="T213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A213" i="5" s="1"/>
  <c r="C213" i="5"/>
  <c r="B213" i="5"/>
  <c r="AY212" i="5"/>
  <c r="AX212" i="5"/>
  <c r="AW212" i="5"/>
  <c r="AV212" i="5"/>
  <c r="AU212" i="5"/>
  <c r="AT212" i="5"/>
  <c r="AS212" i="5"/>
  <c r="AR212" i="5"/>
  <c r="AQ212" i="5"/>
  <c r="AP212" i="5"/>
  <c r="AO212" i="5"/>
  <c r="AN212" i="5"/>
  <c r="AM212" i="5"/>
  <c r="AL212" i="5"/>
  <c r="AK212" i="5"/>
  <c r="AJ212" i="5"/>
  <c r="AI212" i="5"/>
  <c r="AH212" i="5"/>
  <c r="AG212" i="5"/>
  <c r="AF212" i="5"/>
  <c r="AE212" i="5"/>
  <c r="AD212" i="5"/>
  <c r="AC212" i="5"/>
  <c r="AB212" i="5"/>
  <c r="AA212" i="5"/>
  <c r="Z212" i="5"/>
  <c r="Y212" i="5"/>
  <c r="X212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B212" i="5"/>
  <c r="A212" i="5"/>
  <c r="AY211" i="5"/>
  <c r="AX211" i="5"/>
  <c r="AW211" i="5"/>
  <c r="AV211" i="5"/>
  <c r="AU211" i="5"/>
  <c r="AT211" i="5"/>
  <c r="AS211" i="5"/>
  <c r="AR211" i="5"/>
  <c r="AQ211" i="5"/>
  <c r="AP211" i="5"/>
  <c r="AO211" i="5"/>
  <c r="AN211" i="5"/>
  <c r="AM211" i="5"/>
  <c r="AL211" i="5"/>
  <c r="AK211" i="5"/>
  <c r="AJ211" i="5"/>
  <c r="AI211" i="5"/>
  <c r="AH211" i="5"/>
  <c r="AG211" i="5"/>
  <c r="AF211" i="5"/>
  <c r="AE211" i="5"/>
  <c r="AD211" i="5"/>
  <c r="AC211" i="5"/>
  <c r="AB211" i="5"/>
  <c r="AA211" i="5"/>
  <c r="Z211" i="5"/>
  <c r="Y211" i="5"/>
  <c r="X211" i="5"/>
  <c r="W211" i="5"/>
  <c r="V211" i="5"/>
  <c r="U211" i="5"/>
  <c r="T211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A211" i="5" s="1"/>
  <c r="C211" i="5"/>
  <c r="B211" i="5"/>
  <c r="AY210" i="5"/>
  <c r="AX210" i="5"/>
  <c r="AW210" i="5"/>
  <c r="AV210" i="5"/>
  <c r="AU210" i="5"/>
  <c r="AT210" i="5"/>
  <c r="AS210" i="5"/>
  <c r="AR210" i="5"/>
  <c r="AQ210" i="5"/>
  <c r="AP210" i="5"/>
  <c r="AO210" i="5"/>
  <c r="AN210" i="5"/>
  <c r="AM210" i="5"/>
  <c r="AL210" i="5"/>
  <c r="AK210" i="5"/>
  <c r="AJ210" i="5"/>
  <c r="AI210" i="5"/>
  <c r="AH210" i="5"/>
  <c r="AG210" i="5"/>
  <c r="AF210" i="5"/>
  <c r="AE210" i="5"/>
  <c r="AD210" i="5"/>
  <c r="AC210" i="5"/>
  <c r="AB210" i="5"/>
  <c r="AA210" i="5"/>
  <c r="Z210" i="5"/>
  <c r="Y210" i="5"/>
  <c r="X210" i="5"/>
  <c r="W210" i="5"/>
  <c r="V210" i="5"/>
  <c r="U210" i="5"/>
  <c r="T210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A210" i="5" s="1"/>
  <c r="C210" i="5"/>
  <c r="B210" i="5"/>
  <c r="AY209" i="5"/>
  <c r="AX209" i="5"/>
  <c r="AW209" i="5"/>
  <c r="AV209" i="5"/>
  <c r="AU209" i="5"/>
  <c r="AT209" i="5"/>
  <c r="AS209" i="5"/>
  <c r="AR209" i="5"/>
  <c r="AQ209" i="5"/>
  <c r="AP209" i="5"/>
  <c r="AO209" i="5"/>
  <c r="AN209" i="5"/>
  <c r="AM209" i="5"/>
  <c r="AL209" i="5"/>
  <c r="AK209" i="5"/>
  <c r="AJ209" i="5"/>
  <c r="AI209" i="5"/>
  <c r="AH209" i="5"/>
  <c r="AG209" i="5"/>
  <c r="AF209" i="5"/>
  <c r="AE209" i="5"/>
  <c r="AD209" i="5"/>
  <c r="AC209" i="5"/>
  <c r="AB209" i="5"/>
  <c r="AA209" i="5"/>
  <c r="Z209" i="5"/>
  <c r="Y209" i="5"/>
  <c r="X209" i="5"/>
  <c r="W209" i="5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A209" i="5" s="1"/>
  <c r="B209" i="5"/>
  <c r="AY208" i="5"/>
  <c r="AX208" i="5"/>
  <c r="AW208" i="5"/>
  <c r="AV208" i="5"/>
  <c r="AU208" i="5"/>
  <c r="AT208" i="5"/>
  <c r="AS208" i="5"/>
  <c r="AR208" i="5"/>
  <c r="AQ208" i="5"/>
  <c r="AP208" i="5"/>
  <c r="AO208" i="5"/>
  <c r="AN208" i="5"/>
  <c r="AM208" i="5"/>
  <c r="AL208" i="5"/>
  <c r="AK208" i="5"/>
  <c r="AJ208" i="5"/>
  <c r="AI208" i="5"/>
  <c r="AH208" i="5"/>
  <c r="AG208" i="5"/>
  <c r="AF208" i="5"/>
  <c r="AE208" i="5"/>
  <c r="AD208" i="5"/>
  <c r="AC208" i="5"/>
  <c r="AB208" i="5"/>
  <c r="AA208" i="5"/>
  <c r="Z208" i="5"/>
  <c r="Y208" i="5"/>
  <c r="X208" i="5"/>
  <c r="W208" i="5"/>
  <c r="V208" i="5"/>
  <c r="U208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A208" i="5" s="1"/>
  <c r="B208" i="5"/>
  <c r="AY207" i="5"/>
  <c r="AX207" i="5"/>
  <c r="AW207" i="5"/>
  <c r="AV207" i="5"/>
  <c r="AU207" i="5"/>
  <c r="AT207" i="5"/>
  <c r="AS207" i="5"/>
  <c r="AR207" i="5"/>
  <c r="AQ207" i="5"/>
  <c r="AP207" i="5"/>
  <c r="AO207" i="5"/>
  <c r="AN207" i="5"/>
  <c r="AM207" i="5"/>
  <c r="AL207" i="5"/>
  <c r="AK207" i="5"/>
  <c r="AJ207" i="5"/>
  <c r="AI207" i="5"/>
  <c r="AH207" i="5"/>
  <c r="AG207" i="5"/>
  <c r="AF207" i="5"/>
  <c r="AE207" i="5"/>
  <c r="AD207" i="5"/>
  <c r="AC207" i="5"/>
  <c r="AB207" i="5"/>
  <c r="AA207" i="5"/>
  <c r="Z207" i="5"/>
  <c r="Y207" i="5"/>
  <c r="X207" i="5"/>
  <c r="W207" i="5"/>
  <c r="V207" i="5"/>
  <c r="U207" i="5"/>
  <c r="T207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C207" i="5"/>
  <c r="B207" i="5"/>
  <c r="A207" i="5"/>
  <c r="AY206" i="5"/>
  <c r="AX206" i="5"/>
  <c r="AW206" i="5"/>
  <c r="AV206" i="5"/>
  <c r="AU206" i="5"/>
  <c r="AT206" i="5"/>
  <c r="AS206" i="5"/>
  <c r="AR206" i="5"/>
  <c r="AQ206" i="5"/>
  <c r="AP206" i="5"/>
  <c r="AO206" i="5"/>
  <c r="AN206" i="5"/>
  <c r="AM206" i="5"/>
  <c r="AL206" i="5"/>
  <c r="AK206" i="5"/>
  <c r="AJ206" i="5"/>
  <c r="AI206" i="5"/>
  <c r="AH206" i="5"/>
  <c r="AG206" i="5"/>
  <c r="AF206" i="5"/>
  <c r="AE206" i="5"/>
  <c r="AD206" i="5"/>
  <c r="AC206" i="5"/>
  <c r="AB206" i="5"/>
  <c r="AA206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B206" i="5"/>
  <c r="A206" i="5"/>
  <c r="AY205" i="5"/>
  <c r="AX205" i="5"/>
  <c r="AW205" i="5"/>
  <c r="AV205" i="5"/>
  <c r="AU205" i="5"/>
  <c r="AT205" i="5"/>
  <c r="AS205" i="5"/>
  <c r="AR205" i="5"/>
  <c r="AQ205" i="5"/>
  <c r="AP205" i="5"/>
  <c r="AO205" i="5"/>
  <c r="AN205" i="5"/>
  <c r="AM205" i="5"/>
  <c r="AL205" i="5"/>
  <c r="AK205" i="5"/>
  <c r="AJ205" i="5"/>
  <c r="AI205" i="5"/>
  <c r="AH205" i="5"/>
  <c r="AG205" i="5"/>
  <c r="AF205" i="5"/>
  <c r="AE205" i="5"/>
  <c r="AD205" i="5"/>
  <c r="AC205" i="5"/>
  <c r="AB205" i="5"/>
  <c r="AA205" i="5"/>
  <c r="Z205" i="5"/>
  <c r="Y205" i="5"/>
  <c r="X205" i="5"/>
  <c r="W205" i="5"/>
  <c r="V205" i="5"/>
  <c r="U205" i="5"/>
  <c r="T205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A205" i="5" s="1"/>
  <c r="C205" i="5"/>
  <c r="B205" i="5"/>
  <c r="AY204" i="5"/>
  <c r="AX204" i="5"/>
  <c r="AW204" i="5"/>
  <c r="AV204" i="5"/>
  <c r="AU204" i="5"/>
  <c r="AT204" i="5"/>
  <c r="AS204" i="5"/>
  <c r="AR204" i="5"/>
  <c r="AQ204" i="5"/>
  <c r="AP204" i="5"/>
  <c r="AO204" i="5"/>
  <c r="AN204" i="5"/>
  <c r="AM204" i="5"/>
  <c r="AL204" i="5"/>
  <c r="AK204" i="5"/>
  <c r="AJ204" i="5"/>
  <c r="AI204" i="5"/>
  <c r="AH204" i="5"/>
  <c r="AG204" i="5"/>
  <c r="AF204" i="5"/>
  <c r="AE204" i="5"/>
  <c r="AD204" i="5"/>
  <c r="AC204" i="5"/>
  <c r="AB204" i="5"/>
  <c r="AA204" i="5"/>
  <c r="Z204" i="5"/>
  <c r="Y204" i="5"/>
  <c r="X204" i="5"/>
  <c r="W204" i="5"/>
  <c r="V204" i="5"/>
  <c r="U204" i="5"/>
  <c r="T204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C204" i="5"/>
  <c r="B204" i="5"/>
  <c r="A204" i="5"/>
  <c r="AY203" i="5"/>
  <c r="AX203" i="5"/>
  <c r="AW203" i="5"/>
  <c r="AV203" i="5"/>
  <c r="AU203" i="5"/>
  <c r="AT203" i="5"/>
  <c r="AS203" i="5"/>
  <c r="AR203" i="5"/>
  <c r="AQ203" i="5"/>
  <c r="AP203" i="5"/>
  <c r="AO203" i="5"/>
  <c r="AN203" i="5"/>
  <c r="AM203" i="5"/>
  <c r="AL203" i="5"/>
  <c r="AK203" i="5"/>
  <c r="AJ203" i="5"/>
  <c r="AI203" i="5"/>
  <c r="AH203" i="5"/>
  <c r="AG203" i="5"/>
  <c r="AF203" i="5"/>
  <c r="AE203" i="5"/>
  <c r="AD203" i="5"/>
  <c r="AC203" i="5"/>
  <c r="AB203" i="5"/>
  <c r="AA203" i="5"/>
  <c r="Z203" i="5"/>
  <c r="Y203" i="5"/>
  <c r="X203" i="5"/>
  <c r="W203" i="5"/>
  <c r="V203" i="5"/>
  <c r="U203" i="5"/>
  <c r="T203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A203" i="5" s="1"/>
  <c r="C203" i="5"/>
  <c r="B203" i="5"/>
  <c r="AY202" i="5"/>
  <c r="AX202" i="5"/>
  <c r="AW202" i="5"/>
  <c r="AV202" i="5"/>
  <c r="AU202" i="5"/>
  <c r="AT202" i="5"/>
  <c r="AS202" i="5"/>
  <c r="AR202" i="5"/>
  <c r="AQ202" i="5"/>
  <c r="AP202" i="5"/>
  <c r="AO202" i="5"/>
  <c r="AN202" i="5"/>
  <c r="AM202" i="5"/>
  <c r="AL202" i="5"/>
  <c r="AK202" i="5"/>
  <c r="AJ202" i="5"/>
  <c r="AI202" i="5"/>
  <c r="AH202" i="5"/>
  <c r="AG202" i="5"/>
  <c r="AF202" i="5"/>
  <c r="AE202" i="5"/>
  <c r="AD202" i="5"/>
  <c r="AC202" i="5"/>
  <c r="AB202" i="5"/>
  <c r="AA202" i="5"/>
  <c r="Z202" i="5"/>
  <c r="Y202" i="5"/>
  <c r="X202" i="5"/>
  <c r="W202" i="5"/>
  <c r="V202" i="5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A202" i="5" s="1"/>
  <c r="C202" i="5"/>
  <c r="B202" i="5"/>
  <c r="AY201" i="5"/>
  <c r="AX201" i="5"/>
  <c r="AW201" i="5"/>
  <c r="AV201" i="5"/>
  <c r="AU201" i="5"/>
  <c r="AT201" i="5"/>
  <c r="AS201" i="5"/>
  <c r="AR201" i="5"/>
  <c r="AQ201" i="5"/>
  <c r="AP201" i="5"/>
  <c r="AO201" i="5"/>
  <c r="AN201" i="5"/>
  <c r="AM201" i="5"/>
  <c r="AL201" i="5"/>
  <c r="AK201" i="5"/>
  <c r="AJ201" i="5"/>
  <c r="AI201" i="5"/>
  <c r="AH201" i="5"/>
  <c r="AG201" i="5"/>
  <c r="AF201" i="5"/>
  <c r="AE201" i="5"/>
  <c r="AD201" i="5"/>
  <c r="AC201" i="5"/>
  <c r="AB201" i="5"/>
  <c r="AA201" i="5"/>
  <c r="Z201" i="5"/>
  <c r="Y201" i="5"/>
  <c r="X201" i="5"/>
  <c r="W201" i="5"/>
  <c r="V201" i="5"/>
  <c r="U201" i="5"/>
  <c r="T201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C201" i="5"/>
  <c r="A201" i="5" s="1"/>
  <c r="B201" i="5"/>
  <c r="AY200" i="5"/>
  <c r="AX200" i="5"/>
  <c r="AW200" i="5"/>
  <c r="AV200" i="5"/>
  <c r="AU200" i="5"/>
  <c r="AT200" i="5"/>
  <c r="AS200" i="5"/>
  <c r="AR200" i="5"/>
  <c r="AQ200" i="5"/>
  <c r="AP200" i="5"/>
  <c r="AO200" i="5"/>
  <c r="AN200" i="5"/>
  <c r="AM200" i="5"/>
  <c r="AL200" i="5"/>
  <c r="AK200" i="5"/>
  <c r="AJ200" i="5"/>
  <c r="AI200" i="5"/>
  <c r="AH200" i="5"/>
  <c r="AG200" i="5"/>
  <c r="AF200" i="5"/>
  <c r="AE200" i="5"/>
  <c r="AD200" i="5"/>
  <c r="AC200" i="5"/>
  <c r="AB200" i="5"/>
  <c r="AA200" i="5"/>
  <c r="Z200" i="5"/>
  <c r="Y200" i="5"/>
  <c r="X200" i="5"/>
  <c r="W200" i="5"/>
  <c r="V200" i="5"/>
  <c r="U200" i="5"/>
  <c r="T200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A200" i="5" s="1"/>
  <c r="B200" i="5"/>
  <c r="AY199" i="5"/>
  <c r="AX199" i="5"/>
  <c r="AW199" i="5"/>
  <c r="AV199" i="5"/>
  <c r="AU199" i="5"/>
  <c r="AT199" i="5"/>
  <c r="AS199" i="5"/>
  <c r="AR199" i="5"/>
  <c r="AQ199" i="5"/>
  <c r="AP199" i="5"/>
  <c r="AO199" i="5"/>
  <c r="AN199" i="5"/>
  <c r="AM199" i="5"/>
  <c r="AL199" i="5"/>
  <c r="AK199" i="5"/>
  <c r="AJ199" i="5"/>
  <c r="AI199" i="5"/>
  <c r="AH199" i="5"/>
  <c r="AG199" i="5"/>
  <c r="AF199" i="5"/>
  <c r="AE199" i="5"/>
  <c r="AD199" i="5"/>
  <c r="AC199" i="5"/>
  <c r="AB199" i="5"/>
  <c r="AA199" i="5"/>
  <c r="Z199" i="5"/>
  <c r="Y199" i="5"/>
  <c r="X199" i="5"/>
  <c r="W199" i="5"/>
  <c r="V199" i="5"/>
  <c r="U199" i="5"/>
  <c r="T199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B199" i="5"/>
  <c r="A199" i="5"/>
  <c r="AY198" i="5"/>
  <c r="AX198" i="5"/>
  <c r="AW198" i="5"/>
  <c r="AV198" i="5"/>
  <c r="AU198" i="5"/>
  <c r="AT198" i="5"/>
  <c r="AS198" i="5"/>
  <c r="AR198" i="5"/>
  <c r="AQ198" i="5"/>
  <c r="AP198" i="5"/>
  <c r="AO198" i="5"/>
  <c r="AN198" i="5"/>
  <c r="AM198" i="5"/>
  <c r="AL198" i="5"/>
  <c r="AK198" i="5"/>
  <c r="AJ198" i="5"/>
  <c r="AI198" i="5"/>
  <c r="AH198" i="5"/>
  <c r="AG198" i="5"/>
  <c r="AF198" i="5"/>
  <c r="AE198" i="5"/>
  <c r="AD198" i="5"/>
  <c r="AC198" i="5"/>
  <c r="AB198" i="5"/>
  <c r="AA198" i="5"/>
  <c r="Z198" i="5"/>
  <c r="Y198" i="5"/>
  <c r="X198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A198" i="5"/>
  <c r="AY197" i="5"/>
  <c r="AX197" i="5"/>
  <c r="AW197" i="5"/>
  <c r="AV197" i="5"/>
  <c r="AU197" i="5"/>
  <c r="AT197" i="5"/>
  <c r="AS197" i="5"/>
  <c r="AR197" i="5"/>
  <c r="AQ197" i="5"/>
  <c r="AP197" i="5"/>
  <c r="AO197" i="5"/>
  <c r="AN197" i="5"/>
  <c r="AM197" i="5"/>
  <c r="AL197" i="5"/>
  <c r="AK197" i="5"/>
  <c r="AJ197" i="5"/>
  <c r="AI197" i="5"/>
  <c r="AH197" i="5"/>
  <c r="AG197" i="5"/>
  <c r="AF197" i="5"/>
  <c r="AE197" i="5"/>
  <c r="AD197" i="5"/>
  <c r="AC197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A197" i="5" s="1"/>
  <c r="C197" i="5"/>
  <c r="B197" i="5"/>
  <c r="AY196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A196" i="5"/>
  <c r="AY195" i="5"/>
  <c r="AX195" i="5"/>
  <c r="AW195" i="5"/>
  <c r="AV195" i="5"/>
  <c r="AU195" i="5"/>
  <c r="AT195" i="5"/>
  <c r="AS195" i="5"/>
  <c r="AR195" i="5"/>
  <c r="AQ195" i="5"/>
  <c r="AP195" i="5"/>
  <c r="AO195" i="5"/>
  <c r="AN195" i="5"/>
  <c r="AM195" i="5"/>
  <c r="AL195" i="5"/>
  <c r="AK195" i="5"/>
  <c r="AJ195" i="5"/>
  <c r="AI195" i="5"/>
  <c r="AH195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A195" i="5" s="1"/>
  <c r="B195" i="5"/>
  <c r="AY194" i="5"/>
  <c r="AX194" i="5"/>
  <c r="AW194" i="5"/>
  <c r="AV194" i="5"/>
  <c r="AU194" i="5"/>
  <c r="AT194" i="5"/>
  <c r="AS194" i="5"/>
  <c r="AR194" i="5"/>
  <c r="AQ194" i="5"/>
  <c r="AP194" i="5"/>
  <c r="AO194" i="5"/>
  <c r="AN194" i="5"/>
  <c r="AM194" i="5"/>
  <c r="AL194" i="5"/>
  <c r="AK194" i="5"/>
  <c r="AJ194" i="5"/>
  <c r="AI194" i="5"/>
  <c r="AH194" i="5"/>
  <c r="AG194" i="5"/>
  <c r="AF194" i="5"/>
  <c r="AE194" i="5"/>
  <c r="AD194" i="5"/>
  <c r="AC194" i="5"/>
  <c r="AB194" i="5"/>
  <c r="AA194" i="5"/>
  <c r="Z194" i="5"/>
  <c r="Y194" i="5"/>
  <c r="X194" i="5"/>
  <c r="W194" i="5"/>
  <c r="V194" i="5"/>
  <c r="U194" i="5"/>
  <c r="T194" i="5"/>
  <c r="S194" i="5"/>
  <c r="R194" i="5"/>
  <c r="A194" i="5" s="1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B194" i="5"/>
  <c r="AY193" i="5"/>
  <c r="AX193" i="5"/>
  <c r="AW193" i="5"/>
  <c r="AV193" i="5"/>
  <c r="AU193" i="5"/>
  <c r="AT193" i="5"/>
  <c r="AS193" i="5"/>
  <c r="AR193" i="5"/>
  <c r="AQ193" i="5"/>
  <c r="AP193" i="5"/>
  <c r="AO193" i="5"/>
  <c r="AN193" i="5"/>
  <c r="AM193" i="5"/>
  <c r="AL193" i="5"/>
  <c r="AK193" i="5"/>
  <c r="AJ193" i="5"/>
  <c r="AI193" i="5"/>
  <c r="AH193" i="5"/>
  <c r="AG193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A193" i="5" s="1"/>
  <c r="B193" i="5"/>
  <c r="AY192" i="5"/>
  <c r="AX192" i="5"/>
  <c r="AW192" i="5"/>
  <c r="AV192" i="5"/>
  <c r="AU192" i="5"/>
  <c r="AT192" i="5"/>
  <c r="AS192" i="5"/>
  <c r="AR192" i="5"/>
  <c r="AQ192" i="5"/>
  <c r="AP192" i="5"/>
  <c r="AO192" i="5"/>
  <c r="AN192" i="5"/>
  <c r="AM192" i="5"/>
  <c r="AL192" i="5"/>
  <c r="AK192" i="5"/>
  <c r="AJ192" i="5"/>
  <c r="AI192" i="5"/>
  <c r="AH192" i="5"/>
  <c r="AG192" i="5"/>
  <c r="AF192" i="5"/>
  <c r="AE192" i="5"/>
  <c r="AD192" i="5"/>
  <c r="AC192" i="5"/>
  <c r="AB192" i="5"/>
  <c r="AA192" i="5"/>
  <c r="Z192" i="5"/>
  <c r="Y192" i="5"/>
  <c r="X192" i="5"/>
  <c r="W192" i="5"/>
  <c r="V192" i="5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A192" i="5" s="1"/>
  <c r="B192" i="5"/>
  <c r="AY191" i="5"/>
  <c r="AX191" i="5"/>
  <c r="AW191" i="5"/>
  <c r="AV191" i="5"/>
  <c r="AU191" i="5"/>
  <c r="AT191" i="5"/>
  <c r="AS191" i="5"/>
  <c r="AR191" i="5"/>
  <c r="AQ191" i="5"/>
  <c r="AP191" i="5"/>
  <c r="AO191" i="5"/>
  <c r="AN191" i="5"/>
  <c r="AM191" i="5"/>
  <c r="AL191" i="5"/>
  <c r="AK191" i="5"/>
  <c r="AJ191" i="5"/>
  <c r="AI191" i="5"/>
  <c r="AH191" i="5"/>
  <c r="AG191" i="5"/>
  <c r="AF191" i="5"/>
  <c r="AE191" i="5"/>
  <c r="AD191" i="5"/>
  <c r="AC191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A191" i="5"/>
  <c r="AY190" i="5"/>
  <c r="AX190" i="5"/>
  <c r="AW190" i="5"/>
  <c r="AV190" i="5"/>
  <c r="AU190" i="5"/>
  <c r="AT190" i="5"/>
  <c r="AS190" i="5"/>
  <c r="AR190" i="5"/>
  <c r="AQ190" i="5"/>
  <c r="AP190" i="5"/>
  <c r="AO190" i="5"/>
  <c r="AN190" i="5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A190" i="5"/>
  <c r="AY189" i="5"/>
  <c r="AX189" i="5"/>
  <c r="AW189" i="5"/>
  <c r="AV189" i="5"/>
  <c r="AU189" i="5"/>
  <c r="AT189" i="5"/>
  <c r="AS189" i="5"/>
  <c r="AR189" i="5"/>
  <c r="AQ189" i="5"/>
  <c r="AP189" i="5"/>
  <c r="AO189" i="5"/>
  <c r="AN189" i="5"/>
  <c r="AM189" i="5"/>
  <c r="AL189" i="5"/>
  <c r="AK189" i="5"/>
  <c r="AJ189" i="5"/>
  <c r="AI189" i="5"/>
  <c r="AH189" i="5"/>
  <c r="AG189" i="5"/>
  <c r="AF189" i="5"/>
  <c r="AE189" i="5"/>
  <c r="AD189" i="5"/>
  <c r="AC189" i="5"/>
  <c r="AB189" i="5"/>
  <c r="AA189" i="5"/>
  <c r="Z189" i="5"/>
  <c r="Y189" i="5"/>
  <c r="X189" i="5"/>
  <c r="W189" i="5"/>
  <c r="V189" i="5"/>
  <c r="U189" i="5"/>
  <c r="T189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A189" i="5" s="1"/>
  <c r="C189" i="5"/>
  <c r="B189" i="5"/>
  <c r="AY188" i="5"/>
  <c r="AX188" i="5"/>
  <c r="AW188" i="5"/>
  <c r="AV188" i="5"/>
  <c r="AU188" i="5"/>
  <c r="AT188" i="5"/>
  <c r="AS188" i="5"/>
  <c r="AR188" i="5"/>
  <c r="AQ188" i="5"/>
  <c r="AP188" i="5"/>
  <c r="AO188" i="5"/>
  <c r="AN188" i="5"/>
  <c r="AM188" i="5"/>
  <c r="AL188" i="5"/>
  <c r="AK188" i="5"/>
  <c r="AJ188" i="5"/>
  <c r="AI188" i="5"/>
  <c r="AH188" i="5"/>
  <c r="AG188" i="5"/>
  <c r="AF188" i="5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A188" i="5" s="1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B188" i="5"/>
  <c r="AY187" i="5"/>
  <c r="AX187" i="5"/>
  <c r="AW187" i="5"/>
  <c r="AV187" i="5"/>
  <c r="AU187" i="5"/>
  <c r="AT187" i="5"/>
  <c r="AS187" i="5"/>
  <c r="AR187" i="5"/>
  <c r="AQ187" i="5"/>
  <c r="AP187" i="5"/>
  <c r="AO187" i="5"/>
  <c r="AN187" i="5"/>
  <c r="AM187" i="5"/>
  <c r="AL187" i="5"/>
  <c r="AK187" i="5"/>
  <c r="AJ187" i="5"/>
  <c r="AI187" i="5"/>
  <c r="AH187" i="5"/>
  <c r="AG187" i="5"/>
  <c r="AF187" i="5"/>
  <c r="AE187" i="5"/>
  <c r="AD187" i="5"/>
  <c r="AC187" i="5"/>
  <c r="AB187" i="5"/>
  <c r="AA187" i="5"/>
  <c r="Z187" i="5"/>
  <c r="Y187" i="5"/>
  <c r="X187" i="5"/>
  <c r="W187" i="5"/>
  <c r="V187" i="5"/>
  <c r="U187" i="5"/>
  <c r="T187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A187" i="5" s="1"/>
  <c r="B187" i="5"/>
  <c r="AY186" i="5"/>
  <c r="AX186" i="5"/>
  <c r="AW186" i="5"/>
  <c r="AV186" i="5"/>
  <c r="AU186" i="5"/>
  <c r="AT186" i="5"/>
  <c r="AS186" i="5"/>
  <c r="AR186" i="5"/>
  <c r="AQ186" i="5"/>
  <c r="AP186" i="5"/>
  <c r="AO186" i="5"/>
  <c r="AN186" i="5"/>
  <c r="AM186" i="5"/>
  <c r="AL186" i="5"/>
  <c r="AK186" i="5"/>
  <c r="AJ186" i="5"/>
  <c r="AI186" i="5"/>
  <c r="AH186" i="5"/>
  <c r="AG186" i="5"/>
  <c r="AF186" i="5"/>
  <c r="AE186" i="5"/>
  <c r="AD186" i="5"/>
  <c r="AC186" i="5"/>
  <c r="AB186" i="5"/>
  <c r="AA186" i="5"/>
  <c r="Z186" i="5"/>
  <c r="Y186" i="5"/>
  <c r="X186" i="5"/>
  <c r="W186" i="5"/>
  <c r="V186" i="5"/>
  <c r="U186" i="5"/>
  <c r="T186" i="5"/>
  <c r="S186" i="5"/>
  <c r="R186" i="5"/>
  <c r="A186" i="5" s="1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B186" i="5"/>
  <c r="AY185" i="5"/>
  <c r="AX185" i="5"/>
  <c r="AW185" i="5"/>
  <c r="AV185" i="5"/>
  <c r="AU185" i="5"/>
  <c r="AT185" i="5"/>
  <c r="AS185" i="5"/>
  <c r="AR185" i="5"/>
  <c r="AQ185" i="5"/>
  <c r="AP185" i="5"/>
  <c r="AO185" i="5"/>
  <c r="AN185" i="5"/>
  <c r="AM185" i="5"/>
  <c r="AL185" i="5"/>
  <c r="AK185" i="5"/>
  <c r="AJ185" i="5"/>
  <c r="AI185" i="5"/>
  <c r="AH185" i="5"/>
  <c r="AG185" i="5"/>
  <c r="AF185" i="5"/>
  <c r="AE185" i="5"/>
  <c r="AD185" i="5"/>
  <c r="AC185" i="5"/>
  <c r="AB185" i="5"/>
  <c r="AA185" i="5"/>
  <c r="Z185" i="5"/>
  <c r="Y185" i="5"/>
  <c r="X185" i="5"/>
  <c r="W185" i="5"/>
  <c r="V185" i="5"/>
  <c r="U185" i="5"/>
  <c r="T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A185" i="5" s="1"/>
  <c r="B185" i="5"/>
  <c r="AY184" i="5"/>
  <c r="AX184" i="5"/>
  <c r="AW184" i="5"/>
  <c r="AV184" i="5"/>
  <c r="AU184" i="5"/>
  <c r="AT184" i="5"/>
  <c r="AS184" i="5"/>
  <c r="AR184" i="5"/>
  <c r="AQ184" i="5"/>
  <c r="AP184" i="5"/>
  <c r="AO184" i="5"/>
  <c r="AN184" i="5"/>
  <c r="AM184" i="5"/>
  <c r="AL184" i="5"/>
  <c r="AK184" i="5"/>
  <c r="AJ184" i="5"/>
  <c r="AI184" i="5"/>
  <c r="AH184" i="5"/>
  <c r="AG184" i="5"/>
  <c r="AF184" i="5"/>
  <c r="AE184" i="5"/>
  <c r="AD184" i="5"/>
  <c r="AC184" i="5"/>
  <c r="AB184" i="5"/>
  <c r="AA184" i="5"/>
  <c r="Z184" i="5"/>
  <c r="Y184" i="5"/>
  <c r="X184" i="5"/>
  <c r="W184" i="5"/>
  <c r="V184" i="5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C184" i="5"/>
  <c r="A184" i="5" s="1"/>
  <c r="B184" i="5"/>
  <c r="AY183" i="5"/>
  <c r="AX183" i="5"/>
  <c r="AW183" i="5"/>
  <c r="AV183" i="5"/>
  <c r="AU183" i="5"/>
  <c r="AT183" i="5"/>
  <c r="AS183" i="5"/>
  <c r="AR183" i="5"/>
  <c r="AQ183" i="5"/>
  <c r="AP183" i="5"/>
  <c r="AO183" i="5"/>
  <c r="AN183" i="5"/>
  <c r="AM183" i="5"/>
  <c r="AL183" i="5"/>
  <c r="AK183" i="5"/>
  <c r="AJ183" i="5"/>
  <c r="AI183" i="5"/>
  <c r="AH183" i="5"/>
  <c r="AG183" i="5"/>
  <c r="AF183" i="5"/>
  <c r="AE183" i="5"/>
  <c r="AD183" i="5"/>
  <c r="AC183" i="5"/>
  <c r="AB183" i="5"/>
  <c r="AA183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A183" i="5"/>
  <c r="AY182" i="5"/>
  <c r="AX182" i="5"/>
  <c r="AW182" i="5"/>
  <c r="AV182" i="5"/>
  <c r="AU182" i="5"/>
  <c r="AT182" i="5"/>
  <c r="AS182" i="5"/>
  <c r="AR182" i="5"/>
  <c r="AQ182" i="5"/>
  <c r="AP182" i="5"/>
  <c r="AO182" i="5"/>
  <c r="AN182" i="5"/>
  <c r="AM182" i="5"/>
  <c r="AL182" i="5"/>
  <c r="AK182" i="5"/>
  <c r="AJ182" i="5"/>
  <c r="AI182" i="5"/>
  <c r="AH182" i="5"/>
  <c r="AG182" i="5"/>
  <c r="AF182" i="5"/>
  <c r="AE182" i="5"/>
  <c r="AD182" i="5"/>
  <c r="AC182" i="5"/>
  <c r="AB182" i="5"/>
  <c r="AA182" i="5"/>
  <c r="Z182" i="5"/>
  <c r="Y182" i="5"/>
  <c r="X182" i="5"/>
  <c r="W182" i="5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B182" i="5"/>
  <c r="A182" i="5"/>
  <c r="AY181" i="5"/>
  <c r="AX181" i="5"/>
  <c r="AW181" i="5"/>
  <c r="AV181" i="5"/>
  <c r="AU181" i="5"/>
  <c r="AT181" i="5"/>
  <c r="AS181" i="5"/>
  <c r="AR181" i="5"/>
  <c r="AQ181" i="5"/>
  <c r="AP181" i="5"/>
  <c r="AO181" i="5"/>
  <c r="AN181" i="5"/>
  <c r="AM181" i="5"/>
  <c r="AL181" i="5"/>
  <c r="AK181" i="5"/>
  <c r="AJ181" i="5"/>
  <c r="AI181" i="5"/>
  <c r="AH181" i="5"/>
  <c r="AG181" i="5"/>
  <c r="AF181" i="5"/>
  <c r="AE181" i="5"/>
  <c r="AD181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A181" i="5" s="1"/>
  <c r="C181" i="5"/>
  <c r="B181" i="5"/>
  <c r="AY180" i="5"/>
  <c r="AX180" i="5"/>
  <c r="AW180" i="5"/>
  <c r="AV180" i="5"/>
  <c r="AU180" i="5"/>
  <c r="AT180" i="5"/>
  <c r="AS180" i="5"/>
  <c r="AR180" i="5"/>
  <c r="AQ180" i="5"/>
  <c r="AP180" i="5"/>
  <c r="AO180" i="5"/>
  <c r="AN180" i="5"/>
  <c r="AM180" i="5"/>
  <c r="AL180" i="5"/>
  <c r="AK180" i="5"/>
  <c r="AJ180" i="5"/>
  <c r="AI180" i="5"/>
  <c r="AH180" i="5"/>
  <c r="AG180" i="5"/>
  <c r="AF180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A180" i="5" s="1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B180" i="5"/>
  <c r="AY179" i="5"/>
  <c r="AX179" i="5"/>
  <c r="AW179" i="5"/>
  <c r="AV179" i="5"/>
  <c r="AU179" i="5"/>
  <c r="AT179" i="5"/>
  <c r="AS179" i="5"/>
  <c r="AR179" i="5"/>
  <c r="AQ179" i="5"/>
  <c r="AP179" i="5"/>
  <c r="AO179" i="5"/>
  <c r="AN179" i="5"/>
  <c r="AM179" i="5"/>
  <c r="AL179" i="5"/>
  <c r="AK179" i="5"/>
  <c r="AJ179" i="5"/>
  <c r="AI179" i="5"/>
  <c r="AH179" i="5"/>
  <c r="AG179" i="5"/>
  <c r="AF179" i="5"/>
  <c r="AE179" i="5"/>
  <c r="AD179" i="5"/>
  <c r="AC179" i="5"/>
  <c r="AB179" i="5"/>
  <c r="AA179" i="5"/>
  <c r="Z179" i="5"/>
  <c r="Y179" i="5"/>
  <c r="X179" i="5"/>
  <c r="W179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A179" i="5" s="1"/>
  <c r="B179" i="5"/>
  <c r="AY178" i="5"/>
  <c r="AX178" i="5"/>
  <c r="AW178" i="5"/>
  <c r="AV178" i="5"/>
  <c r="AU178" i="5"/>
  <c r="AT178" i="5"/>
  <c r="AS178" i="5"/>
  <c r="AR178" i="5"/>
  <c r="AQ178" i="5"/>
  <c r="AP178" i="5"/>
  <c r="AO178" i="5"/>
  <c r="AN178" i="5"/>
  <c r="AM178" i="5"/>
  <c r="AL178" i="5"/>
  <c r="AK178" i="5"/>
  <c r="AJ178" i="5"/>
  <c r="AI178" i="5"/>
  <c r="AH178" i="5"/>
  <c r="AG178" i="5"/>
  <c r="AF178" i="5"/>
  <c r="AE178" i="5"/>
  <c r="AD178" i="5"/>
  <c r="AC178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C178" i="5"/>
  <c r="B178" i="5"/>
  <c r="A178" i="5"/>
  <c r="AY177" i="5"/>
  <c r="AX177" i="5"/>
  <c r="AW177" i="5"/>
  <c r="AV177" i="5"/>
  <c r="AU177" i="5"/>
  <c r="AT177" i="5"/>
  <c r="AS177" i="5"/>
  <c r="AR177" i="5"/>
  <c r="AQ177" i="5"/>
  <c r="AP177" i="5"/>
  <c r="AO177" i="5"/>
  <c r="AN177" i="5"/>
  <c r="AM177" i="5"/>
  <c r="AL177" i="5"/>
  <c r="AK177" i="5"/>
  <c r="AJ177" i="5"/>
  <c r="AI177" i="5"/>
  <c r="AH177" i="5"/>
  <c r="AG177" i="5"/>
  <c r="AF177" i="5"/>
  <c r="AE177" i="5"/>
  <c r="AD177" i="5"/>
  <c r="AC177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A177" i="5" s="1"/>
  <c r="B177" i="5"/>
  <c r="AY176" i="5"/>
  <c r="AX176" i="5"/>
  <c r="AW176" i="5"/>
  <c r="AV176" i="5"/>
  <c r="AU176" i="5"/>
  <c r="AT176" i="5"/>
  <c r="AS176" i="5"/>
  <c r="AR176" i="5"/>
  <c r="AQ176" i="5"/>
  <c r="AP176" i="5"/>
  <c r="AO176" i="5"/>
  <c r="AN176" i="5"/>
  <c r="AM176" i="5"/>
  <c r="AL176" i="5"/>
  <c r="AK176" i="5"/>
  <c r="AJ176" i="5"/>
  <c r="AI176" i="5"/>
  <c r="AH176" i="5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A176" i="5" s="1"/>
  <c r="B176" i="5"/>
  <c r="AY175" i="5"/>
  <c r="AX175" i="5"/>
  <c r="AW175" i="5"/>
  <c r="AV175" i="5"/>
  <c r="AU175" i="5"/>
  <c r="AT175" i="5"/>
  <c r="AS175" i="5"/>
  <c r="AR175" i="5"/>
  <c r="AQ175" i="5"/>
  <c r="AP175" i="5"/>
  <c r="AO175" i="5"/>
  <c r="AN175" i="5"/>
  <c r="AM175" i="5"/>
  <c r="AL175" i="5"/>
  <c r="AK175" i="5"/>
  <c r="AJ175" i="5"/>
  <c r="AI175" i="5"/>
  <c r="AH175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B175" i="5"/>
  <c r="A175" i="5"/>
  <c r="AY174" i="5"/>
  <c r="AX174" i="5"/>
  <c r="AW174" i="5"/>
  <c r="AV174" i="5"/>
  <c r="AU174" i="5"/>
  <c r="AT174" i="5"/>
  <c r="AS174" i="5"/>
  <c r="AR174" i="5"/>
  <c r="AQ174" i="5"/>
  <c r="AP174" i="5"/>
  <c r="AO174" i="5"/>
  <c r="AN174" i="5"/>
  <c r="AM174" i="5"/>
  <c r="AL174" i="5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A174" i="5"/>
  <c r="AY173" i="5"/>
  <c r="AX173" i="5"/>
  <c r="AW173" i="5"/>
  <c r="AV173" i="5"/>
  <c r="AU173" i="5"/>
  <c r="AT173" i="5"/>
  <c r="AS173" i="5"/>
  <c r="AR173" i="5"/>
  <c r="AQ173" i="5"/>
  <c r="AP173" i="5"/>
  <c r="AO173" i="5"/>
  <c r="AN173" i="5"/>
  <c r="AM173" i="5"/>
  <c r="AL173" i="5"/>
  <c r="AK173" i="5"/>
  <c r="AJ173" i="5"/>
  <c r="AI173" i="5"/>
  <c r="AH173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A173" i="5" s="1"/>
  <c r="C173" i="5"/>
  <c r="B173" i="5"/>
  <c r="AY172" i="5"/>
  <c r="AX172" i="5"/>
  <c r="AW172" i="5"/>
  <c r="AV172" i="5"/>
  <c r="AU172" i="5"/>
  <c r="AT172" i="5"/>
  <c r="AS172" i="5"/>
  <c r="AR172" i="5"/>
  <c r="AQ172" i="5"/>
  <c r="AP172" i="5"/>
  <c r="AO172" i="5"/>
  <c r="AN172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A172" i="5"/>
  <c r="AY171" i="5"/>
  <c r="AX171" i="5"/>
  <c r="AW171" i="5"/>
  <c r="AV171" i="5"/>
  <c r="AU171" i="5"/>
  <c r="AT171" i="5"/>
  <c r="AS171" i="5"/>
  <c r="AR171" i="5"/>
  <c r="AQ171" i="5"/>
  <c r="AP171" i="5"/>
  <c r="AO171" i="5"/>
  <c r="AN171" i="5"/>
  <c r="AM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A171" i="5" s="1"/>
  <c r="B171" i="5"/>
  <c r="AY170" i="5"/>
  <c r="AX170" i="5"/>
  <c r="AW170" i="5"/>
  <c r="AV170" i="5"/>
  <c r="AU170" i="5"/>
  <c r="AT170" i="5"/>
  <c r="AS170" i="5"/>
  <c r="AR170" i="5"/>
  <c r="AQ170" i="5"/>
  <c r="AP170" i="5"/>
  <c r="AO170" i="5"/>
  <c r="AN170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A170" i="5" s="1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B170" i="5"/>
  <c r="AY169" i="5"/>
  <c r="AX169" i="5"/>
  <c r="AW169" i="5"/>
  <c r="AV169" i="5"/>
  <c r="AU169" i="5"/>
  <c r="AT169" i="5"/>
  <c r="AS169" i="5"/>
  <c r="AR169" i="5"/>
  <c r="AQ169" i="5"/>
  <c r="AP169" i="5"/>
  <c r="AO169" i="5"/>
  <c r="AN169" i="5"/>
  <c r="AM169" i="5"/>
  <c r="AL169" i="5"/>
  <c r="AK169" i="5"/>
  <c r="AJ169" i="5"/>
  <c r="AI169" i="5"/>
  <c r="AH169" i="5"/>
  <c r="AG169" i="5"/>
  <c r="AF169" i="5"/>
  <c r="AE169" i="5"/>
  <c r="AD169" i="5"/>
  <c r="AC169" i="5"/>
  <c r="AB169" i="5"/>
  <c r="AA169" i="5"/>
  <c r="Z169" i="5"/>
  <c r="Y169" i="5"/>
  <c r="X169" i="5"/>
  <c r="W169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A169" i="5" s="1"/>
  <c r="B169" i="5"/>
  <c r="AY168" i="5"/>
  <c r="AX168" i="5"/>
  <c r="AW168" i="5"/>
  <c r="AV168" i="5"/>
  <c r="AU168" i="5"/>
  <c r="AT168" i="5"/>
  <c r="AS168" i="5"/>
  <c r="AR168" i="5"/>
  <c r="AQ168" i="5"/>
  <c r="AP168" i="5"/>
  <c r="AO168" i="5"/>
  <c r="AN168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A168" i="5" s="1"/>
  <c r="B168" i="5"/>
  <c r="AY167" i="5"/>
  <c r="AX167" i="5"/>
  <c r="AW167" i="5"/>
  <c r="AV167" i="5"/>
  <c r="AU167" i="5"/>
  <c r="AT167" i="5"/>
  <c r="AS167" i="5"/>
  <c r="AR167" i="5"/>
  <c r="AQ167" i="5"/>
  <c r="AP167" i="5"/>
  <c r="AO167" i="5"/>
  <c r="AN167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A167" i="5"/>
  <c r="AY166" i="5"/>
  <c r="AX166" i="5"/>
  <c r="AW166" i="5"/>
  <c r="AV166" i="5"/>
  <c r="AU166" i="5"/>
  <c r="AT166" i="5"/>
  <c r="AS166" i="5"/>
  <c r="AR166" i="5"/>
  <c r="AQ166" i="5"/>
  <c r="AP166" i="5"/>
  <c r="AO166" i="5"/>
  <c r="AN166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A166" i="5"/>
  <c r="AY165" i="5"/>
  <c r="AX165" i="5"/>
  <c r="AW165" i="5"/>
  <c r="AV165" i="5"/>
  <c r="AU165" i="5"/>
  <c r="AT165" i="5"/>
  <c r="AS165" i="5"/>
  <c r="AR165" i="5"/>
  <c r="AQ165" i="5"/>
  <c r="AP165" i="5"/>
  <c r="AO165" i="5"/>
  <c r="AN165" i="5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A165" i="5" s="1"/>
  <c r="C165" i="5"/>
  <c r="B165" i="5"/>
  <c r="AY164" i="5"/>
  <c r="AX164" i="5"/>
  <c r="AW164" i="5"/>
  <c r="AV164" i="5"/>
  <c r="AU164" i="5"/>
  <c r="AT164" i="5"/>
  <c r="AS164" i="5"/>
  <c r="AR164" i="5"/>
  <c r="AQ164" i="5"/>
  <c r="AP164" i="5"/>
  <c r="AO164" i="5"/>
  <c r="AN164" i="5"/>
  <c r="AM164" i="5"/>
  <c r="AL164" i="5"/>
  <c r="AK164" i="5"/>
  <c r="AJ164" i="5"/>
  <c r="AI164" i="5"/>
  <c r="AH164" i="5"/>
  <c r="AG164" i="5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B164" i="5"/>
  <c r="A164" i="5"/>
  <c r="AY163" i="5"/>
  <c r="AX163" i="5"/>
  <c r="AW163" i="5"/>
  <c r="AV163" i="5"/>
  <c r="AU163" i="5"/>
  <c r="AT163" i="5"/>
  <c r="AS163" i="5"/>
  <c r="AR163" i="5"/>
  <c r="AQ163" i="5"/>
  <c r="AP163" i="5"/>
  <c r="AO163" i="5"/>
  <c r="AN163" i="5"/>
  <c r="AM163" i="5"/>
  <c r="AL163" i="5"/>
  <c r="AK163" i="5"/>
  <c r="AJ163" i="5"/>
  <c r="AI163" i="5"/>
  <c r="AH163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A163" i="5" s="1"/>
  <c r="B163" i="5"/>
  <c r="AY162" i="5"/>
  <c r="AX162" i="5"/>
  <c r="AW162" i="5"/>
  <c r="AV162" i="5"/>
  <c r="AU162" i="5"/>
  <c r="AT162" i="5"/>
  <c r="AS162" i="5"/>
  <c r="AR162" i="5"/>
  <c r="AQ162" i="5"/>
  <c r="AP162" i="5"/>
  <c r="AO162" i="5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A162" i="5" s="1"/>
  <c r="C162" i="5"/>
  <c r="B162" i="5"/>
  <c r="AY161" i="5"/>
  <c r="AX161" i="5"/>
  <c r="AW161" i="5"/>
  <c r="AV161" i="5"/>
  <c r="AU161" i="5"/>
  <c r="AT161" i="5"/>
  <c r="AS161" i="5"/>
  <c r="AR161" i="5"/>
  <c r="AQ161" i="5"/>
  <c r="AP161" i="5"/>
  <c r="AO161" i="5"/>
  <c r="AN161" i="5"/>
  <c r="AM161" i="5"/>
  <c r="AL161" i="5"/>
  <c r="AK161" i="5"/>
  <c r="AJ161" i="5"/>
  <c r="AI161" i="5"/>
  <c r="AH161" i="5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A161" i="5" s="1"/>
  <c r="B161" i="5"/>
  <c r="AY160" i="5"/>
  <c r="AX160" i="5"/>
  <c r="AW160" i="5"/>
  <c r="AV160" i="5"/>
  <c r="AU160" i="5"/>
  <c r="AT160" i="5"/>
  <c r="AS160" i="5"/>
  <c r="AR160" i="5"/>
  <c r="AQ160" i="5"/>
  <c r="AP160" i="5"/>
  <c r="AO160" i="5"/>
  <c r="AN160" i="5"/>
  <c r="AM160" i="5"/>
  <c r="AL160" i="5"/>
  <c r="AK160" i="5"/>
  <c r="AJ160" i="5"/>
  <c r="AI160" i="5"/>
  <c r="AH160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A160" i="5" s="1"/>
  <c r="B160" i="5"/>
  <c r="AY159" i="5"/>
  <c r="AX159" i="5"/>
  <c r="AW159" i="5"/>
  <c r="AV159" i="5"/>
  <c r="AU159" i="5"/>
  <c r="AT159" i="5"/>
  <c r="AS159" i="5"/>
  <c r="AR159" i="5"/>
  <c r="AQ159" i="5"/>
  <c r="AP159" i="5"/>
  <c r="AO159" i="5"/>
  <c r="AN159" i="5"/>
  <c r="AM159" i="5"/>
  <c r="AL159" i="5"/>
  <c r="AK159" i="5"/>
  <c r="AJ159" i="5"/>
  <c r="AI159" i="5"/>
  <c r="AH159" i="5"/>
  <c r="AG159" i="5"/>
  <c r="AF159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A159" i="5"/>
  <c r="AY158" i="5"/>
  <c r="AX158" i="5"/>
  <c r="AW158" i="5"/>
  <c r="AV158" i="5"/>
  <c r="AU158" i="5"/>
  <c r="AT158" i="5"/>
  <c r="AS158" i="5"/>
  <c r="AR158" i="5"/>
  <c r="AQ158" i="5"/>
  <c r="AP158" i="5"/>
  <c r="AO158" i="5"/>
  <c r="AN158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B158" i="5"/>
  <c r="A158" i="5"/>
  <c r="AY157" i="5"/>
  <c r="AX157" i="5"/>
  <c r="AW157" i="5"/>
  <c r="AV157" i="5"/>
  <c r="AU157" i="5"/>
  <c r="AT157" i="5"/>
  <c r="AS157" i="5"/>
  <c r="AR157" i="5"/>
  <c r="AQ157" i="5"/>
  <c r="AP157" i="5"/>
  <c r="AO157" i="5"/>
  <c r="AN157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A157" i="5" s="1"/>
  <c r="C157" i="5"/>
  <c r="B157" i="5"/>
  <c r="AY156" i="5"/>
  <c r="AX156" i="5"/>
  <c r="AW156" i="5"/>
  <c r="AV156" i="5"/>
  <c r="AU156" i="5"/>
  <c r="AT156" i="5"/>
  <c r="AS156" i="5"/>
  <c r="AR156" i="5"/>
  <c r="AQ156" i="5"/>
  <c r="AP156" i="5"/>
  <c r="AO156" i="5"/>
  <c r="AN156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A156" i="5" s="1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AY155" i="5"/>
  <c r="AX155" i="5"/>
  <c r="AW155" i="5"/>
  <c r="AV155" i="5"/>
  <c r="AU155" i="5"/>
  <c r="AT155" i="5"/>
  <c r="AS155" i="5"/>
  <c r="AR155" i="5"/>
  <c r="AQ155" i="5"/>
  <c r="AP155" i="5"/>
  <c r="AO155" i="5"/>
  <c r="AN155" i="5"/>
  <c r="AM155" i="5"/>
  <c r="AL155" i="5"/>
  <c r="AK155" i="5"/>
  <c r="AJ155" i="5"/>
  <c r="AI155" i="5"/>
  <c r="AH155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A155" i="5" s="1"/>
  <c r="B155" i="5"/>
  <c r="AY154" i="5"/>
  <c r="AX154" i="5"/>
  <c r="AW154" i="5"/>
  <c r="AV154" i="5"/>
  <c r="AU154" i="5"/>
  <c r="AT154" i="5"/>
  <c r="AS154" i="5"/>
  <c r="AR154" i="5"/>
  <c r="AQ154" i="5"/>
  <c r="AP154" i="5"/>
  <c r="AO154" i="5"/>
  <c r="AN154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A154" i="5" s="1"/>
  <c r="C154" i="5"/>
  <c r="B154" i="5"/>
  <c r="AY153" i="5"/>
  <c r="AX153" i="5"/>
  <c r="AW153" i="5"/>
  <c r="AV153" i="5"/>
  <c r="AU153" i="5"/>
  <c r="AT153" i="5"/>
  <c r="AS153" i="5"/>
  <c r="AR153" i="5"/>
  <c r="AQ153" i="5"/>
  <c r="AP153" i="5"/>
  <c r="AO153" i="5"/>
  <c r="AN153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A153" i="5" s="1"/>
  <c r="B153" i="5"/>
  <c r="AY152" i="5"/>
  <c r="AX152" i="5"/>
  <c r="AW152" i="5"/>
  <c r="AV152" i="5"/>
  <c r="AU152" i="5"/>
  <c r="AT152" i="5"/>
  <c r="AS152" i="5"/>
  <c r="AR152" i="5"/>
  <c r="AQ152" i="5"/>
  <c r="AP152" i="5"/>
  <c r="AO152" i="5"/>
  <c r="AN152" i="5"/>
  <c r="AM152" i="5"/>
  <c r="AL152" i="5"/>
  <c r="AK152" i="5"/>
  <c r="AJ152" i="5"/>
  <c r="AI152" i="5"/>
  <c r="AH152" i="5"/>
  <c r="AG152" i="5"/>
  <c r="AF152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A152" i="5" s="1"/>
  <c r="B152" i="5"/>
  <c r="AY151" i="5"/>
  <c r="AX151" i="5"/>
  <c r="AW151" i="5"/>
  <c r="AV151" i="5"/>
  <c r="AU151" i="5"/>
  <c r="AT151" i="5"/>
  <c r="AS151" i="5"/>
  <c r="AR151" i="5"/>
  <c r="AQ151" i="5"/>
  <c r="AP151" i="5"/>
  <c r="AO151" i="5"/>
  <c r="AN151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A151" i="5"/>
  <c r="AY150" i="5"/>
  <c r="AX150" i="5"/>
  <c r="AW150" i="5"/>
  <c r="AV150" i="5"/>
  <c r="AU150" i="5"/>
  <c r="AT150" i="5"/>
  <c r="AS150" i="5"/>
  <c r="AR150" i="5"/>
  <c r="AQ150" i="5"/>
  <c r="AP150" i="5"/>
  <c r="AO150" i="5"/>
  <c r="AN150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A150" i="5"/>
  <c r="AY149" i="5"/>
  <c r="AX149" i="5"/>
  <c r="AW149" i="5"/>
  <c r="AV149" i="5"/>
  <c r="AU149" i="5"/>
  <c r="AT149" i="5"/>
  <c r="AS149" i="5"/>
  <c r="AR149" i="5"/>
  <c r="AQ149" i="5"/>
  <c r="AP149" i="5"/>
  <c r="AO149" i="5"/>
  <c r="AN149" i="5"/>
  <c r="AM149" i="5"/>
  <c r="AL149" i="5"/>
  <c r="AK149" i="5"/>
  <c r="AJ149" i="5"/>
  <c r="AI149" i="5"/>
  <c r="AH149" i="5"/>
  <c r="AG149" i="5"/>
  <c r="AF149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A149" i="5" s="1"/>
  <c r="B149" i="5"/>
  <c r="AY148" i="5"/>
  <c r="AX148" i="5"/>
  <c r="AW148" i="5"/>
  <c r="AV148" i="5"/>
  <c r="AU148" i="5"/>
  <c r="AT148" i="5"/>
  <c r="AS148" i="5"/>
  <c r="AR148" i="5"/>
  <c r="AQ148" i="5"/>
  <c r="AP148" i="5"/>
  <c r="AO148" i="5"/>
  <c r="AN148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A148" i="5" s="1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AY147" i="5"/>
  <c r="AX147" i="5"/>
  <c r="AW147" i="5"/>
  <c r="AV147" i="5"/>
  <c r="AU147" i="5"/>
  <c r="AT147" i="5"/>
  <c r="AS147" i="5"/>
  <c r="AR147" i="5"/>
  <c r="AQ147" i="5"/>
  <c r="AP147" i="5"/>
  <c r="AO147" i="5"/>
  <c r="AN147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A147" i="5" s="1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AY146" i="5"/>
  <c r="AX146" i="5"/>
  <c r="AW146" i="5"/>
  <c r="AV146" i="5"/>
  <c r="AU146" i="5"/>
  <c r="AT146" i="5"/>
  <c r="AS146" i="5"/>
  <c r="AR146" i="5"/>
  <c r="AQ146" i="5"/>
  <c r="AP146" i="5"/>
  <c r="AO146" i="5"/>
  <c r="AN146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A146" i="5" s="1"/>
  <c r="C146" i="5"/>
  <c r="B146" i="5"/>
  <c r="AY145" i="5"/>
  <c r="AX145" i="5"/>
  <c r="AW145" i="5"/>
  <c r="AV145" i="5"/>
  <c r="AU145" i="5"/>
  <c r="AT145" i="5"/>
  <c r="AS145" i="5"/>
  <c r="AR145" i="5"/>
  <c r="AQ145" i="5"/>
  <c r="AP145" i="5"/>
  <c r="AO145" i="5"/>
  <c r="AN145" i="5"/>
  <c r="AM145" i="5"/>
  <c r="AL145" i="5"/>
  <c r="AK145" i="5"/>
  <c r="AJ145" i="5"/>
  <c r="AI145" i="5"/>
  <c r="AH145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A145" i="5"/>
  <c r="AY144" i="5"/>
  <c r="AX144" i="5"/>
  <c r="AW144" i="5"/>
  <c r="AV144" i="5"/>
  <c r="AU144" i="5"/>
  <c r="AT144" i="5"/>
  <c r="AS144" i="5"/>
  <c r="AR144" i="5"/>
  <c r="AQ144" i="5"/>
  <c r="AP144" i="5"/>
  <c r="AO144" i="5"/>
  <c r="AN144" i="5"/>
  <c r="AM144" i="5"/>
  <c r="AL144" i="5"/>
  <c r="AK144" i="5"/>
  <c r="AJ144" i="5"/>
  <c r="AI144" i="5"/>
  <c r="AH144" i="5"/>
  <c r="AG144" i="5"/>
  <c r="AF144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A144" i="5" s="1"/>
  <c r="B144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A143" i="5"/>
  <c r="AY142" i="5"/>
  <c r="AX142" i="5"/>
  <c r="AW142" i="5"/>
  <c r="AV142" i="5"/>
  <c r="AU142" i="5"/>
  <c r="AT142" i="5"/>
  <c r="AS142" i="5"/>
  <c r="AR142" i="5"/>
  <c r="AQ142" i="5"/>
  <c r="AP142" i="5"/>
  <c r="AO142" i="5"/>
  <c r="AN142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A142" i="5"/>
  <c r="AY141" i="5"/>
  <c r="AX141" i="5"/>
  <c r="AW141" i="5"/>
  <c r="AV141" i="5"/>
  <c r="AU141" i="5"/>
  <c r="AT141" i="5"/>
  <c r="AS141" i="5"/>
  <c r="AR141" i="5"/>
  <c r="AQ141" i="5"/>
  <c r="AP141" i="5"/>
  <c r="AO141" i="5"/>
  <c r="AN141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A141" i="5" s="1"/>
  <c r="B141" i="5"/>
  <c r="AY140" i="5"/>
  <c r="AX140" i="5"/>
  <c r="AW140" i="5"/>
  <c r="AV140" i="5"/>
  <c r="AU140" i="5"/>
  <c r="AT140" i="5"/>
  <c r="AS140" i="5"/>
  <c r="AR140" i="5"/>
  <c r="AQ140" i="5"/>
  <c r="AP140" i="5"/>
  <c r="AO140" i="5"/>
  <c r="AN140" i="5"/>
  <c r="AM140" i="5"/>
  <c r="AL140" i="5"/>
  <c r="AK140" i="5"/>
  <c r="AJ140" i="5"/>
  <c r="AI140" i="5"/>
  <c r="AH140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A140" i="5" s="1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B140" i="5"/>
  <c r="AY139" i="5"/>
  <c r="AX139" i="5"/>
  <c r="AW139" i="5"/>
  <c r="AV139" i="5"/>
  <c r="AU139" i="5"/>
  <c r="AT139" i="5"/>
  <c r="AS139" i="5"/>
  <c r="AR139" i="5"/>
  <c r="AQ139" i="5"/>
  <c r="AP139" i="5"/>
  <c r="AO139" i="5"/>
  <c r="AN139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A139" i="5" s="1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AY138" i="5"/>
  <c r="AX138" i="5"/>
  <c r="AW138" i="5"/>
  <c r="AV138" i="5"/>
  <c r="AU138" i="5"/>
  <c r="AT138" i="5"/>
  <c r="AS138" i="5"/>
  <c r="AR138" i="5"/>
  <c r="AQ138" i="5"/>
  <c r="AP138" i="5"/>
  <c r="AO138" i="5"/>
  <c r="AN138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A138" i="5" s="1"/>
  <c r="C138" i="5"/>
  <c r="B138" i="5"/>
  <c r="AY137" i="5"/>
  <c r="AX137" i="5"/>
  <c r="AW137" i="5"/>
  <c r="AV137" i="5"/>
  <c r="AU137" i="5"/>
  <c r="AT137" i="5"/>
  <c r="AS137" i="5"/>
  <c r="AR137" i="5"/>
  <c r="AQ137" i="5"/>
  <c r="AP137" i="5"/>
  <c r="AO137" i="5"/>
  <c r="AN137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B137" i="5"/>
  <c r="A137" i="5"/>
  <c r="AY136" i="5"/>
  <c r="AX136" i="5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A136" i="5" s="1"/>
  <c r="B136" i="5"/>
  <c r="AY135" i="5"/>
  <c r="AX135" i="5"/>
  <c r="AW135" i="5"/>
  <c r="AV135" i="5"/>
  <c r="AU135" i="5"/>
  <c r="AT135" i="5"/>
  <c r="AS135" i="5"/>
  <c r="AR135" i="5"/>
  <c r="AQ135" i="5"/>
  <c r="AP135" i="5"/>
  <c r="AO135" i="5"/>
  <c r="AN135" i="5"/>
  <c r="AM135" i="5"/>
  <c r="AL135" i="5"/>
  <c r="AK135" i="5"/>
  <c r="AJ135" i="5"/>
  <c r="AI135" i="5"/>
  <c r="AH135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B135" i="5"/>
  <c r="A135" i="5"/>
  <c r="AY134" i="5"/>
  <c r="AX134" i="5"/>
  <c r="AW134" i="5"/>
  <c r="AV134" i="5"/>
  <c r="AU134" i="5"/>
  <c r="AT134" i="5"/>
  <c r="AS134" i="5"/>
  <c r="AR134" i="5"/>
  <c r="AQ134" i="5"/>
  <c r="AP134" i="5"/>
  <c r="AO134" i="5"/>
  <c r="AN134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A134" i="5"/>
  <c r="AY133" i="5"/>
  <c r="AX133" i="5"/>
  <c r="AW133" i="5"/>
  <c r="AV133" i="5"/>
  <c r="AU133" i="5"/>
  <c r="AT133" i="5"/>
  <c r="AS133" i="5"/>
  <c r="AR133" i="5"/>
  <c r="AQ133" i="5"/>
  <c r="AP133" i="5"/>
  <c r="AO133" i="5"/>
  <c r="AN133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A133" i="5" s="1"/>
  <c r="B133" i="5"/>
  <c r="AY132" i="5"/>
  <c r="AX132" i="5"/>
  <c r="AW132" i="5"/>
  <c r="AV132" i="5"/>
  <c r="AU132" i="5"/>
  <c r="AT132" i="5"/>
  <c r="AS132" i="5"/>
  <c r="AR132" i="5"/>
  <c r="AQ132" i="5"/>
  <c r="AP132" i="5"/>
  <c r="AO132" i="5"/>
  <c r="AN132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A132" i="5" s="1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AY131" i="5"/>
  <c r="AX131" i="5"/>
  <c r="AW131" i="5"/>
  <c r="AV131" i="5"/>
  <c r="AU131" i="5"/>
  <c r="AT131" i="5"/>
  <c r="AS131" i="5"/>
  <c r="AR131" i="5"/>
  <c r="AQ131" i="5"/>
  <c r="AP131" i="5"/>
  <c r="AO131" i="5"/>
  <c r="AN131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A131" i="5" s="1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AY130" i="5"/>
  <c r="AX130" i="5"/>
  <c r="AW130" i="5"/>
  <c r="AV130" i="5"/>
  <c r="AU130" i="5"/>
  <c r="AT130" i="5"/>
  <c r="AS130" i="5"/>
  <c r="AR130" i="5"/>
  <c r="AQ130" i="5"/>
  <c r="AP130" i="5"/>
  <c r="AO130" i="5"/>
  <c r="AN130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A130" i="5" s="1"/>
  <c r="C130" i="5"/>
  <c r="B130" i="5"/>
  <c r="AY129" i="5"/>
  <c r="AX129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B129" i="5"/>
  <c r="A129" i="5"/>
  <c r="AY128" i="5"/>
  <c r="AX128" i="5"/>
  <c r="AW128" i="5"/>
  <c r="AV128" i="5"/>
  <c r="AU128" i="5"/>
  <c r="AT128" i="5"/>
  <c r="AS128" i="5"/>
  <c r="AR128" i="5"/>
  <c r="AQ128" i="5"/>
  <c r="AP128" i="5"/>
  <c r="AO128" i="5"/>
  <c r="AN128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A128" i="5" s="1"/>
  <c r="B128" i="5"/>
  <c r="AY127" i="5"/>
  <c r="AX127" i="5"/>
  <c r="AW127" i="5"/>
  <c r="AV127" i="5"/>
  <c r="AU127" i="5"/>
  <c r="AT127" i="5"/>
  <c r="AS127" i="5"/>
  <c r="AR127" i="5"/>
  <c r="AQ127" i="5"/>
  <c r="AP127" i="5"/>
  <c r="AO127" i="5"/>
  <c r="AN127" i="5"/>
  <c r="AM127" i="5"/>
  <c r="AL127" i="5"/>
  <c r="AK127" i="5"/>
  <c r="AJ127" i="5"/>
  <c r="AI127" i="5"/>
  <c r="AH127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A127" i="5"/>
  <c r="AY126" i="5"/>
  <c r="AX126" i="5"/>
  <c r="AW126" i="5"/>
  <c r="AV126" i="5"/>
  <c r="AU126" i="5"/>
  <c r="AT126" i="5"/>
  <c r="AS126" i="5"/>
  <c r="AR126" i="5"/>
  <c r="AQ126" i="5"/>
  <c r="AP126" i="5"/>
  <c r="AO126" i="5"/>
  <c r="AN126" i="5"/>
  <c r="AM126" i="5"/>
  <c r="AL126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B126" i="5"/>
  <c r="A126" i="5"/>
  <c r="AY125" i="5"/>
  <c r="AX125" i="5"/>
  <c r="AW125" i="5"/>
  <c r="AV125" i="5"/>
  <c r="AU125" i="5"/>
  <c r="AT125" i="5"/>
  <c r="AS125" i="5"/>
  <c r="AR125" i="5"/>
  <c r="AQ125" i="5"/>
  <c r="AP125" i="5"/>
  <c r="AO125" i="5"/>
  <c r="AN125" i="5"/>
  <c r="AM125" i="5"/>
  <c r="AL125" i="5"/>
  <c r="AK125" i="5"/>
  <c r="AJ125" i="5"/>
  <c r="AI125" i="5"/>
  <c r="AH125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A125" i="5" s="1"/>
  <c r="B125" i="5"/>
  <c r="AY124" i="5"/>
  <c r="AX124" i="5"/>
  <c r="AW124" i="5"/>
  <c r="AV124" i="5"/>
  <c r="AU124" i="5"/>
  <c r="AT124" i="5"/>
  <c r="AS124" i="5"/>
  <c r="AR124" i="5"/>
  <c r="AQ124" i="5"/>
  <c r="AP124" i="5"/>
  <c r="AO124" i="5"/>
  <c r="AN124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A124" i="5"/>
  <c r="AY123" i="5"/>
  <c r="AX123" i="5"/>
  <c r="AW123" i="5"/>
  <c r="AV123" i="5"/>
  <c r="AU123" i="5"/>
  <c r="AT123" i="5"/>
  <c r="AS123" i="5"/>
  <c r="AR123" i="5"/>
  <c r="AQ123" i="5"/>
  <c r="AP123" i="5"/>
  <c r="AO123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A123" i="5" s="1"/>
  <c r="B123" i="5"/>
  <c r="AY122" i="5"/>
  <c r="AX122" i="5"/>
  <c r="AW122" i="5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A122" i="5" s="1"/>
  <c r="C122" i="5"/>
  <c r="B122" i="5"/>
  <c r="AY121" i="5"/>
  <c r="AX121" i="5"/>
  <c r="AW121" i="5"/>
  <c r="AV121" i="5"/>
  <c r="AU121" i="5"/>
  <c r="AT121" i="5"/>
  <c r="AS121" i="5"/>
  <c r="AR121" i="5"/>
  <c r="AQ121" i="5"/>
  <c r="AP121" i="5"/>
  <c r="AO121" i="5"/>
  <c r="AN121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A121" i="5"/>
  <c r="AY120" i="5"/>
  <c r="AX120" i="5"/>
  <c r="AW120" i="5"/>
  <c r="AV120" i="5"/>
  <c r="AU120" i="5"/>
  <c r="AT120" i="5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A120" i="5" s="1"/>
  <c r="B120" i="5"/>
  <c r="AY119" i="5"/>
  <c r="AX119" i="5"/>
  <c r="AW119" i="5"/>
  <c r="AV119" i="5"/>
  <c r="AU119" i="5"/>
  <c r="AT119" i="5"/>
  <c r="AS119" i="5"/>
  <c r="AR119" i="5"/>
  <c r="AQ119" i="5"/>
  <c r="AP119" i="5"/>
  <c r="AO119" i="5"/>
  <c r="AN119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A119" i="5"/>
  <c r="AY118" i="5"/>
  <c r="AX118" i="5"/>
  <c r="AW118" i="5"/>
  <c r="AV118" i="5"/>
  <c r="AU118" i="5"/>
  <c r="AT118" i="5"/>
  <c r="AS118" i="5"/>
  <c r="AR118" i="5"/>
  <c r="AQ118" i="5"/>
  <c r="AP118" i="5"/>
  <c r="AO118" i="5"/>
  <c r="AN118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A118" i="5"/>
  <c r="AY117" i="5"/>
  <c r="AX117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A117" i="5" s="1"/>
  <c r="B117" i="5"/>
  <c r="AY116" i="5"/>
  <c r="AX116" i="5"/>
  <c r="AW116" i="5"/>
  <c r="AV116" i="5"/>
  <c r="AU116" i="5"/>
  <c r="AT116" i="5"/>
  <c r="AS116" i="5"/>
  <c r="AR116" i="5"/>
  <c r="AQ116" i="5"/>
  <c r="AP116" i="5"/>
  <c r="AO116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A116" i="5"/>
  <c r="AY115" i="5"/>
  <c r="AX115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A115" i="5" s="1"/>
  <c r="B115" i="5"/>
  <c r="AY114" i="5"/>
  <c r="AX114" i="5"/>
  <c r="AW114" i="5"/>
  <c r="AV114" i="5"/>
  <c r="AU114" i="5"/>
  <c r="AT114" i="5"/>
  <c r="AS114" i="5"/>
  <c r="AR114" i="5"/>
  <c r="AQ114" i="5"/>
  <c r="AP114" i="5"/>
  <c r="AO114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A114" i="5" s="1"/>
  <c r="C114" i="5"/>
  <c r="B114" i="5"/>
  <c r="AY113" i="5"/>
  <c r="AX113" i="5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A113" i="5"/>
  <c r="AY112" i="5"/>
  <c r="AX112" i="5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A112" i="5" s="1"/>
  <c r="B112" i="5"/>
  <c r="AY111" i="5"/>
  <c r="AX111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A111" i="5"/>
  <c r="AY110" i="5"/>
  <c r="AX110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A110" i="5"/>
  <c r="AY109" i="5"/>
  <c r="AX109" i="5"/>
  <c r="AW109" i="5"/>
  <c r="AV109" i="5"/>
  <c r="AU109" i="5"/>
  <c r="AT109" i="5"/>
  <c r="AS109" i="5"/>
  <c r="AR109" i="5"/>
  <c r="AQ109" i="5"/>
  <c r="AP109" i="5"/>
  <c r="AO109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A109" i="5" s="1"/>
  <c r="B109" i="5"/>
  <c r="AY108" i="5"/>
  <c r="AX108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A108" i="5"/>
  <c r="AY107" i="5"/>
  <c r="AX107" i="5"/>
  <c r="AW107" i="5"/>
  <c r="AV107" i="5"/>
  <c r="AU107" i="5"/>
  <c r="AT107" i="5"/>
  <c r="AS107" i="5"/>
  <c r="AR107" i="5"/>
  <c r="AQ107" i="5"/>
  <c r="AP107" i="5"/>
  <c r="AO107" i="5"/>
  <c r="AN107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A107" i="5" s="1"/>
  <c r="B107" i="5"/>
  <c r="AY106" i="5"/>
  <c r="AX106" i="5"/>
  <c r="AW106" i="5"/>
  <c r="AV106" i="5"/>
  <c r="AU106" i="5"/>
  <c r="AT106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A106" i="5" s="1"/>
  <c r="B106" i="5"/>
  <c r="AY105" i="5"/>
  <c r="AX105" i="5"/>
  <c r="AW105" i="5"/>
  <c r="AV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105" i="5"/>
  <c r="AY104" i="5"/>
  <c r="AX104" i="5"/>
  <c r="AW104" i="5"/>
  <c r="AV104" i="5"/>
  <c r="AU104" i="5"/>
  <c r="AT104" i="5"/>
  <c r="AS104" i="5"/>
  <c r="AR104" i="5"/>
  <c r="AQ104" i="5"/>
  <c r="AP104" i="5"/>
  <c r="AO104" i="5"/>
  <c r="AN104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A104" i="5" s="1"/>
  <c r="B104" i="5"/>
  <c r="AY103" i="5"/>
  <c r="AX103" i="5"/>
  <c r="AW103" i="5"/>
  <c r="AV103" i="5"/>
  <c r="AU103" i="5"/>
  <c r="AT103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A103" i="5"/>
  <c r="AY102" i="5"/>
  <c r="AX102" i="5"/>
  <c r="AW102" i="5"/>
  <c r="AV102" i="5"/>
  <c r="AU102" i="5"/>
  <c r="AT102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A102" i="5"/>
  <c r="AY101" i="5"/>
  <c r="AX101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A101" i="5" s="1"/>
  <c r="B101" i="5"/>
  <c r="AY100" i="5"/>
  <c r="AX100" i="5"/>
  <c r="AW100" i="5"/>
  <c r="AV100" i="5"/>
  <c r="AU100" i="5"/>
  <c r="AT100" i="5"/>
  <c r="AS100" i="5"/>
  <c r="AR100" i="5"/>
  <c r="AQ100" i="5"/>
  <c r="AP100" i="5"/>
  <c r="AO100" i="5"/>
  <c r="AN100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A100" i="5"/>
  <c r="AY99" i="5"/>
  <c r="AX99" i="5"/>
  <c r="AW99" i="5"/>
  <c r="AV99" i="5"/>
  <c r="AU99" i="5"/>
  <c r="AT99" i="5"/>
  <c r="AS99" i="5"/>
  <c r="AR99" i="5"/>
  <c r="AQ99" i="5"/>
  <c r="AP99" i="5"/>
  <c r="AO99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A99" i="5" s="1"/>
  <c r="B99" i="5"/>
  <c r="AY98" i="5"/>
  <c r="AX98" i="5"/>
  <c r="AW98" i="5"/>
  <c r="AV98" i="5"/>
  <c r="AU98" i="5"/>
  <c r="AT98" i="5"/>
  <c r="AS98" i="5"/>
  <c r="AR98" i="5"/>
  <c r="AQ98" i="5"/>
  <c r="AP98" i="5"/>
  <c r="AO98" i="5"/>
  <c r="AN98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A98" i="5" s="1"/>
  <c r="B98" i="5"/>
  <c r="AY97" i="5"/>
  <c r="AX97" i="5"/>
  <c r="AW97" i="5"/>
  <c r="AV97" i="5"/>
  <c r="AU97" i="5"/>
  <c r="AT97" i="5"/>
  <c r="AS97" i="5"/>
  <c r="AR97" i="5"/>
  <c r="AQ97" i="5"/>
  <c r="AP97" i="5"/>
  <c r="AO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A97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A96" i="5" s="1"/>
  <c r="B96" i="5"/>
  <c r="AY95" i="5"/>
  <c r="AX95" i="5"/>
  <c r="AW95" i="5"/>
  <c r="AV95" i="5"/>
  <c r="AU95" i="5"/>
  <c r="AT95" i="5"/>
  <c r="AS95" i="5"/>
  <c r="AR95" i="5"/>
  <c r="AQ95" i="5"/>
  <c r="AP95" i="5"/>
  <c r="AO95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A95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A94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A93" i="5" s="1"/>
  <c r="B93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A92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A91" i="5" s="1"/>
  <c r="B91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A90" i="5" s="1"/>
  <c r="B90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A89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A88" i="5" s="1"/>
  <c r="B88" i="5"/>
  <c r="AY87" i="5"/>
  <c r="AX87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A87" i="5" s="1"/>
  <c r="C87" i="5"/>
  <c r="B87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86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A85" i="5" s="1"/>
  <c r="B85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A84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A83" i="5" s="1"/>
  <c r="B83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A82" i="5" s="1"/>
  <c r="B82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A81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A80" i="5" s="1"/>
  <c r="B80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79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A78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A77" i="5" s="1"/>
  <c r="B77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76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A75" i="5" s="1"/>
  <c r="B75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A74" i="5" s="1"/>
  <c r="B74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73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A72" i="5" s="1"/>
  <c r="B72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71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A70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A69" i="5" s="1"/>
  <c r="B69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68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A67" i="5" s="1"/>
  <c r="B67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A66" i="5" s="1"/>
  <c r="B66" i="5"/>
  <c r="AY65" i="5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A65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A64" i="5" s="1"/>
  <c r="B64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63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62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A61" i="5" s="1"/>
  <c r="B61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60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A59" i="5" s="1"/>
  <c r="B59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A58" i="5" s="1"/>
  <c r="B58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57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A56" i="5" s="1"/>
  <c r="B56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55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54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A53" i="5" s="1"/>
  <c r="B53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52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A51" i="5" s="1"/>
  <c r="B51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A50" i="5" s="1"/>
  <c r="C50" i="5"/>
  <c r="B50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49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A48" i="5" s="1"/>
  <c r="B48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A47" i="5" s="1"/>
  <c r="B47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46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A45" i="5" s="1"/>
  <c r="B45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A44" i="5" s="1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A43" i="5" s="1"/>
  <c r="B43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A42" i="5" s="1"/>
  <c r="B42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41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40" i="5" s="1"/>
  <c r="B40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39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38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A37" i="5" s="1"/>
  <c r="B37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A36" i="5" s="1"/>
  <c r="B36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A35" i="5" s="1"/>
  <c r="B35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A34" i="5" s="1"/>
  <c r="C34" i="5"/>
  <c r="B34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33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32" i="5" s="1"/>
  <c r="B32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A31" i="5" s="1"/>
  <c r="B31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30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A29" i="5" s="1"/>
  <c r="C29" i="5"/>
  <c r="B29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A28" i="5" s="1"/>
  <c r="B28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A27" i="5" s="1"/>
  <c r="B27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A26" i="5" s="1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25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A24" i="5" s="1"/>
  <c r="B24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A23" i="5" s="1"/>
  <c r="B23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22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21" i="5" s="1"/>
  <c r="C21" i="5"/>
  <c r="B21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20" i="5" s="1"/>
  <c r="B20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19" i="5" s="1"/>
  <c r="B19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A18" i="5" s="1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17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A16" i="5" s="1"/>
  <c r="B16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A15" i="5" s="1"/>
  <c r="B15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14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A13" i="5" s="1"/>
  <c r="C13" i="5"/>
  <c r="B13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A12" i="5" s="1"/>
  <c r="B12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A11" i="5" s="1"/>
  <c r="B11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A10" i="5" s="1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9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A8" i="5" s="1"/>
  <c r="B8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A7" i="5" s="1"/>
  <c r="B7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6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A5" i="5" s="1"/>
  <c r="C5" i="5"/>
  <c r="B5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A4" i="5" s="1"/>
  <c r="B4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A3" i="5" s="1"/>
  <c r="B3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A2" i="5" s="1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</calcChain>
</file>

<file path=xl/sharedStrings.xml><?xml version="1.0" encoding="utf-8"?>
<sst xmlns="http://schemas.openxmlformats.org/spreadsheetml/2006/main" count="1212" uniqueCount="180">
  <si>
    <t>Trade</t>
  </si>
  <si>
    <t>Vsl</t>
  </si>
  <si>
    <t>Vsl Name</t>
  </si>
  <si>
    <t>Facility</t>
  </si>
  <si>
    <t>ETD</t>
  </si>
  <si>
    <t>VGM Late Come Time</t>
  </si>
  <si>
    <t>CY Late Come Time</t>
  </si>
  <si>
    <t>Agent Cutoff Late Come Time</t>
  </si>
  <si>
    <t>RV Late Come Time</t>
  </si>
  <si>
    <t>TPT</t>
  </si>
  <si>
    <t>GCC1</t>
  </si>
  <si>
    <t>Shekou (MCT)</t>
  </si>
  <si>
    <t>N</t>
  </si>
  <si>
    <t>ECC1</t>
  </si>
  <si>
    <t>Yantian (YICT)</t>
  </si>
  <si>
    <t>IAT</t>
  </si>
  <si>
    <t>CIX1</t>
  </si>
  <si>
    <t>Shekou (SCT)</t>
  </si>
  <si>
    <t>AET</t>
  </si>
  <si>
    <t>LL3</t>
  </si>
  <si>
    <t>WM2</t>
  </si>
  <si>
    <t>KTX1</t>
  </si>
  <si>
    <t>ECX1</t>
  </si>
  <si>
    <t>AUT</t>
  </si>
  <si>
    <t>SSF</t>
  </si>
  <si>
    <t>LAT</t>
  </si>
  <si>
    <t>TLA2</t>
  </si>
  <si>
    <t>KTX6</t>
  </si>
  <si>
    <t>GCC2</t>
  </si>
  <si>
    <t>LL1</t>
  </si>
  <si>
    <t>JCV</t>
  </si>
  <si>
    <t>Refer to BA</t>
  </si>
  <si>
    <t>RS1</t>
  </si>
  <si>
    <t>WM1</t>
  </si>
  <si>
    <t>ME1</t>
  </si>
  <si>
    <t>A3S</t>
  </si>
  <si>
    <t>CHL</t>
  </si>
  <si>
    <t>FCS2</t>
  </si>
  <si>
    <t>EM1</t>
  </si>
  <si>
    <t>CIX3</t>
  </si>
  <si>
    <t>LL5</t>
  </si>
  <si>
    <t>PVCS</t>
  </si>
  <si>
    <t>LL6</t>
  </si>
  <si>
    <t>LL7</t>
  </si>
  <si>
    <t>ECC3</t>
  </si>
  <si>
    <t>HPH3</t>
  </si>
  <si>
    <t>PNW3</t>
  </si>
  <si>
    <t>CHL4</t>
  </si>
  <si>
    <t>CPX3</t>
  </si>
  <si>
    <t>PMX</t>
  </si>
  <si>
    <t>CIS2</t>
  </si>
  <si>
    <t>SEAP</t>
  </si>
  <si>
    <t>Service Loops</t>
  </si>
  <si>
    <t>Vessel / Voyage</t>
  </si>
  <si>
    <t xml:space="preserve">Port of Loading </t>
  </si>
  <si>
    <t>Original Status</t>
  </si>
  <si>
    <t>Updated Status</t>
  </si>
  <si>
    <t>VGM Cutoff</t>
  </si>
  <si>
    <t>CY Cutoff</t>
  </si>
  <si>
    <t>Agent Cutoff</t>
  </si>
  <si>
    <t>RV Cutoff</t>
  </si>
  <si>
    <t>SI Cutoff</t>
  </si>
  <si>
    <t>SI Late Come Time</t>
  </si>
  <si>
    <t>Ky</t>
  </si>
  <si>
    <t>Svc</t>
  </si>
  <si>
    <t>Vsl Operator</t>
  </si>
  <si>
    <t>Carrier</t>
  </si>
  <si>
    <t>OA Common Code</t>
  </si>
  <si>
    <t>Voy</t>
  </si>
  <si>
    <t>Dir</t>
  </si>
  <si>
    <t>Stop Seq.</t>
  </si>
  <si>
    <t>Facility Name</t>
  </si>
  <si>
    <t>Port</t>
  </si>
  <si>
    <t>Call No.</t>
  </si>
  <si>
    <t>Call Sign</t>
  </si>
  <si>
    <t>Arr.Ext.Voy.Ref</t>
  </si>
  <si>
    <t>Dep.Ext.Voy.Ref</t>
  </si>
  <si>
    <t>Berth Number</t>
  </si>
  <si>
    <t>Berth LTA</t>
  </si>
  <si>
    <t>Berth LTD</t>
  </si>
  <si>
    <t>Proforma Port Stay</t>
  </si>
  <si>
    <t>Berth ETA</t>
  </si>
  <si>
    <t>Berth ATA</t>
  </si>
  <si>
    <t>Berth ETD</t>
  </si>
  <si>
    <t>Berth ATD</t>
  </si>
  <si>
    <t>Actual Port Stay</t>
  </si>
  <si>
    <t>From ETB/ETU</t>
  </si>
  <si>
    <t>MRU</t>
  </si>
  <si>
    <t>Arr Diff</t>
  </si>
  <si>
    <t>Dep Diff</t>
  </si>
  <si>
    <t>Availability</t>
  </si>
  <si>
    <t>Availability CFS</t>
  </si>
  <si>
    <t>Availability DG</t>
  </si>
  <si>
    <t>Availability GC</t>
  </si>
  <si>
    <t>Availability RF</t>
  </si>
  <si>
    <t>Cut Off</t>
  </si>
  <si>
    <t>Cut Off CFS</t>
  </si>
  <si>
    <t>Cut Off DG</t>
  </si>
  <si>
    <t>Cut Off GC</t>
  </si>
  <si>
    <t>Cut Off RF</t>
  </si>
  <si>
    <t>Cut Off VGM</t>
  </si>
  <si>
    <t>Vsl Discharge</t>
  </si>
  <si>
    <t>Load</t>
  </si>
  <si>
    <t>Pass</t>
  </si>
  <si>
    <t>Discharge</t>
  </si>
  <si>
    <t>Omission</t>
  </si>
  <si>
    <t>Tentative</t>
  </si>
  <si>
    <t>Standard Port Remarks</t>
  </si>
  <si>
    <t>Private Call</t>
  </si>
  <si>
    <t>Standard Voyage Remarks</t>
  </si>
  <si>
    <t/>
  </si>
  <si>
    <t>Vessel phase out FIX at QIN, HVN will replace it.</t>
  </si>
  <si>
    <t>Delayed : Weather Related</t>
  </si>
  <si>
    <t>Phase in to replace YSB,, then phase out at SIN, HPH6 suspend.</t>
  </si>
  <si>
    <t>Delayed : Weather Related Port Closure</t>
  </si>
  <si>
    <t>Delayed : Previous Port Delayed</t>
  </si>
  <si>
    <t>Vessel - HYUNDAI LOYALTY(HRY)-040E will phase int NP2 service to replace HFA.</t>
  </si>
  <si>
    <t>OSN - OOCL SOUTHAMPTON -062 will phase in SVS at HKG(21/Oct) to replace SIA</t>
  </si>
  <si>
    <t>SLL - APL SALALAH -025 will phase in CEC to replace OSN</t>
  </si>
  <si>
    <t>phase out KMS at PUS on 29/Oct</t>
  </si>
  <si>
    <t>Vessel phase out CNS, SEI replace her.</t>
  </si>
  <si>
    <t>OFS phase in at PUS on week 42 to replace SLL.</t>
  </si>
  <si>
    <t>CONTI PARIS (CTP) 005W WILL PHASE IN MAX AT SHA ON 23 OCT TO REPLACE YSE.</t>
  </si>
  <si>
    <t>phase out KMS at PUS on 05/Nov</t>
  </si>
  <si>
    <t>NYK VENUS (NVS)-047E39 will phase out at ZIA (1/Nov), NVT will replace her.</t>
  </si>
  <si>
    <t>Vessel BEATRICE SCHULTE (BSL) PHASE IN KTX3 AT PORT KHH ON 31.OCT TO REPLACE VESSEL OOCL AUSTRALIA(OAZ)</t>
  </si>
  <si>
    <t>KOTA CEMPAKA V.022 phase in CMS at SHA to replace KOTA CARUM.</t>
  </si>
  <si>
    <t>phase out KMS at PUS on 12/Nov</t>
  </si>
  <si>
    <t>Vessel phase in A3S.</t>
  </si>
  <si>
    <t>MOL DOMINANCE (MDC) 0052E WILL PHASE OUT KTX6 AT HKG ON 11 NOV, HER REPLACEMENT IS VNR.</t>
  </si>
  <si>
    <t>VENICE BRIDGE (VNR) 0021E WILL PHASE IN KTX6 AT HKG ON 11 NOV TO REPLACE MDC.</t>
  </si>
  <si>
    <t>VESSEL NHT PHASE IN CHL SVC AT PORT DAN ON 04TH.NOV .TO REPLASE VESSEL HS OCEANO(HEO)</t>
  </si>
  <si>
    <t>HHO-013E41 will phase out. Phase out rotation is JED - SIN - HKG - PUS - YAN. Week 47 will be VMS.</t>
  </si>
  <si>
    <t>OOCL HO CHI MINH CITY (OHC)-009E/W will phase in SC2 at DCB after VMS</t>
  </si>
  <si>
    <t>KOTA CEPAT V.020 phase in CMS at SHA to replace KOTA CANTIK.</t>
  </si>
  <si>
    <t>NVS - NYK VENUS -048 will phase in SVS at HKG(25/Nov) to replace APN</t>
  </si>
  <si>
    <t>RAF-015W will phase in at QIN to replace QRZ on 21-NOV.</t>
  </si>
  <si>
    <t>APL VANDA (VND)-014E will phase out LP4 at SHA (3/Dec), her replacement to be advised</t>
  </si>
  <si>
    <t>Vessel - ZIM LOS ANGELES(ZLG)-047E will phase in SVS service to replace HFC.</t>
  </si>
  <si>
    <t>OSN - OOCL SOUTHAMPTON -061W will phase in CEC at NYC(5/Sep) to replace CMX then phase out and be replaced by SLL</t>
  </si>
  <si>
    <t>Vessel - HYUNDAI FAITH(HFA)-057W will phase out NP2 service and HRY will replace her.</t>
  </si>
  <si>
    <t>SIA - SANTA LIVIA -001 will phase out SVS at YAT(24/Oct), replacement is OSN</t>
  </si>
  <si>
    <t>APN - APL OREGON -044 will phase out SVS at YAT(28/Nov), replacement is NVS</t>
  </si>
  <si>
    <t>Vessel - HYUNDAI FORCE(HFC)-052W will phase out SVS service, her replacement is ZLG.</t>
  </si>
  <si>
    <t>To be confirm</t>
  </si>
  <si>
    <t>CMA CGM BENJAMIN FRANKLIN 0FMDNW1MA</t>
  </si>
  <si>
    <t>CMA CGM TAGE 0PGFXE1MA</t>
  </si>
  <si>
    <t>TITAN 1216-032E</t>
  </si>
  <si>
    <t>COSCO THAILAND 095W</t>
  </si>
  <si>
    <t>CSCL PACIFIC OCEAN 053W</t>
  </si>
  <si>
    <t>CMA CGM SCANDOLA 0MEFVW1MA</t>
  </si>
  <si>
    <t>CEBU 004N</t>
  </si>
  <si>
    <t>CONTI CONTESSA 114W</t>
  </si>
  <si>
    <t>WAN HAI 506 N222</t>
  </si>
  <si>
    <t>OOCL TOKYO 129E</t>
  </si>
  <si>
    <t>CSCL ARCTIC OCEAN 048W</t>
  </si>
  <si>
    <t>COSCO SHIPPING AZALEA 023E</t>
  </si>
  <si>
    <t>THALASSA NIKI 1167-045W</t>
  </si>
  <si>
    <t>THALASSA MANA 0610-044W</t>
  </si>
  <si>
    <t>XIN QING DAO 222W</t>
  </si>
  <si>
    <t>APL GWANGYANG 0MD8VW1MA</t>
  </si>
  <si>
    <t>COSCO HONG KONG 180S</t>
  </si>
  <si>
    <t>GH BORA 109S</t>
  </si>
  <si>
    <t>XIN WEN ZHOU 154W</t>
  </si>
  <si>
    <t>CMA CGM VOLGA 0BXG3W1MA</t>
  </si>
  <si>
    <t>AKA BHUM 016W</t>
  </si>
  <si>
    <t>COSCO BELGIUM 065E</t>
  </si>
  <si>
    <t>JINYUNHE 1846S</t>
  </si>
  <si>
    <t>EVER ALOT 1259-005W</t>
  </si>
  <si>
    <t>EVER GRADE 0671-019W</t>
  </si>
  <si>
    <t>CMA CGM RIGOLETTO 0XR39E1MA</t>
  </si>
  <si>
    <t>VIMC DIAMOND 2323W</t>
  </si>
  <si>
    <t>EVER SMART 0437-125E</t>
  </si>
  <si>
    <t>WAN HAI 501 S240</t>
  </si>
  <si>
    <t>KOTA SANTOS 0006W</t>
  </si>
  <si>
    <t>CMA CGM MUSSET 0FF9NW1MA</t>
  </si>
  <si>
    <t>XIN CHANG SHU 080W</t>
  </si>
  <si>
    <t>XIN BEI LUN 252S</t>
  </si>
  <si>
    <t>CMA CGM G. WASHINGTON 1TU42S1MA</t>
  </si>
  <si>
    <t>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</si>
</sst>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hhmm"/>
    <numFmt numFmtId="165" formatCode="dd\ mmm\ /\ hh:mm"/>
  </numFmts>
  <fonts count="26">
    <font>
      <sz val="11"/>
      <color theme="1"/>
      <name val="Calibri"/>
      <family val="2"/>
      <scheme val="minor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</font>
    <font>
      <sz val="1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1" fillId="0" borderId="0">
      <alignment vertical="center"/>
    </xf>
    <xf numFmtId="0" fontId="9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8" applyNumberFormat="0" applyAlignment="0" applyProtection="0"/>
    <xf numFmtId="0" fontId="17" fillId="9" borderId="9" applyNumberFormat="0" applyAlignment="0" applyProtection="0"/>
    <xf numFmtId="0" fontId="18" fillId="9" borderId="8" applyNumberFormat="0" applyAlignment="0" applyProtection="0"/>
    <xf numFmtId="0" fontId="19" fillId="0" borderId="10" applyNumberFormat="0" applyFill="0" applyAlignment="0" applyProtection="0"/>
    <xf numFmtId="0" fontId="20" fillId="10" borderId="11" applyNumberFormat="0" applyAlignment="0" applyProtection="0"/>
    <xf numFmtId="0" fontId="21" fillId="0" borderId="0" applyNumberFormat="0" applyFill="0" applyBorder="0" applyAlignment="0" applyProtection="0"/>
    <xf numFmtId="0" fontId="8" fillId="11" borderId="12" applyNumberFormat="0" applyFont="0" applyAlignment="0" applyProtection="0"/>
    <xf numFmtId="0" fontId="22" fillId="0" borderId="0" applyNumberFormat="0" applyFill="0" applyBorder="0" applyAlignment="0" applyProtection="0"/>
    <xf numFmtId="0" fontId="6" fillId="0" borderId="13" applyNumberFormat="0" applyFill="0" applyAlignment="0" applyProtection="0"/>
    <xf numFmtId="0" fontId="23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3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3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3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3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3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0" fontId="3" fillId="36" borderId="1" xfId="0" applyFont="1" applyFill="1" applyBorder="1" applyAlignment="1">
      <alignment horizontal="center" vertical="center" wrapText="1"/>
    </xf>
    <xf numFmtId="0" fontId="4" fillId="3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36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24" fillId="4" borderId="1" xfId="0" applyNumberFormat="1" applyFont="1" applyFill="1" applyBorder="1" applyAlignment="1">
      <alignment horizontal="center" vertical="center"/>
    </xf>
    <xf numFmtId="164" fontId="24" fillId="3" borderId="1" xfId="0" applyNumberFormat="1" applyFont="1" applyFill="1" applyBorder="1" applyAlignment="1">
      <alignment horizontal="center" vertical="center"/>
    </xf>
    <xf numFmtId="165" fontId="25" fillId="3" borderId="1" xfId="0" applyNumberFormat="1" applyFont="1" applyFill="1" applyBorder="1" applyAlignment="1">
      <alignment horizontal="center" vertical="center"/>
    </xf>
    <xf numFmtId="164" fontId="24" fillId="36" borderId="1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6" borderId="2" xfId="0" applyFont="1" applyFill="1" applyBorder="1" applyAlignment="1">
      <alignment horizontal="center" vertical="center"/>
    </xf>
    <xf numFmtId="0" fontId="2" fillId="36" borderId="4" xfId="0" applyFont="1" applyFill="1" applyBorder="1" applyAlignment="1">
      <alignment horizontal="center" vertical="center"/>
    </xf>
    <xf numFmtId="0" fontId="2" fillId="36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01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94C16-8008-48FC-8FF4-469AEC131AAA}">
  <dimension ref="A1:O45"/>
  <sheetViews>
    <sheetView showZeros="0" tabSelected="1" topLeftCell="I27" workbookViewId="0">
      <selection activeCell="U39" sqref="U39"/>
    </sheetView>
  </sheetViews>
  <sheetFormatPr defaultColWidth="9.28515625" defaultRowHeight="20.25" customHeight="1"/>
  <cols>
    <col min="1" max="1" width="6.7109375" style="4" customWidth="1"/>
    <col min="2" max="2" width="8.7109375" style="4" customWidth="1"/>
    <col min="3" max="3" width="37.7109375" style="4" bestFit="1" customWidth="1"/>
    <col min="4" max="4" width="15.28515625" style="4" bestFit="1" customWidth="1"/>
    <col min="5" max="5" width="15.28515625" style="4" customWidth="1"/>
    <col min="6" max="8" width="14.7109375" style="11" bestFit="1" customWidth="1"/>
    <col min="9" max="9" width="11" style="11" bestFit="1" customWidth="1"/>
    <col min="10" max="10" width="23.28515625" style="10" bestFit="1" customWidth="1"/>
    <col min="11" max="11" width="19.5703125" style="10" customWidth="1"/>
    <col min="12" max="12" width="24.42578125" style="10" customWidth="1"/>
    <col min="13" max="13" width="21.5703125" style="10" bestFit="1" customWidth="1"/>
    <col min="14" max="14" width="16.28515625" style="10" bestFit="1" customWidth="1"/>
    <col min="15" max="15" width="12.5703125" style="10" customWidth="1"/>
    <col min="16" max="16384" width="9.28515625" style="5"/>
  </cols>
  <sheetData>
    <row r="1" spans="1:15" s="1" customFormat="1" ht="20.25" customHeight="1">
      <c r="A1" s="20" t="s">
        <v>0</v>
      </c>
      <c r="B1" s="28" t="s">
        <v>52</v>
      </c>
      <c r="C1" s="28" t="s">
        <v>53</v>
      </c>
      <c r="D1" s="28" t="s">
        <v>54</v>
      </c>
      <c r="E1" s="25" t="s">
        <v>55</v>
      </c>
      <c r="F1" s="26"/>
      <c r="G1" s="26"/>
      <c r="H1" s="26"/>
      <c r="I1" s="27"/>
      <c r="J1" s="22" t="s">
        <v>56</v>
      </c>
      <c r="K1" s="23"/>
      <c r="L1" s="23"/>
      <c r="M1" s="23"/>
      <c r="N1" s="23"/>
      <c r="O1" s="24"/>
    </row>
    <row r="2" spans="1:15" s="1" customFormat="1" ht="92.25" customHeight="1">
      <c r="A2" s="21"/>
      <c r="B2" s="29"/>
      <c r="C2" s="29"/>
      <c r="D2" s="29"/>
      <c r="E2" s="2" t="s">
        <v>57</v>
      </c>
      <c r="F2" s="2" t="s">
        <v>58</v>
      </c>
      <c r="G2" s="2" t="s">
        <v>59</v>
      </c>
      <c r="H2" s="2" t="s">
        <v>60</v>
      </c>
      <c r="I2" s="3" t="s">
        <v>61</v>
      </c>
      <c r="J2" s="9" t="s">
        <v>5</v>
      </c>
      <c r="K2" s="9" t="s">
        <v>6</v>
      </c>
      <c r="L2" s="9" t="s">
        <v>7</v>
      </c>
      <c r="M2" s="9" t="s">
        <v>8</v>
      </c>
      <c r="N2" s="9" t="s">
        <v>62</v>
      </c>
      <c r="O2" s="9" t="s">
        <v>4</v>
      </c>
    </row>
    <row r="3" spans="1:15" ht="20.25" customHeight="1">
      <c r="A3" s="4" t="s">
        <v>18</v>
      </c>
      <c r="B3" s="4" t="s">
        <v>40</v>
      </c>
      <c r="C3" s="4" t="s">
        <v>145</v>
      </c>
      <c r="D3" s="15" t="s">
        <v>14</v>
      </c>
      <c r="E3" s="12">
        <v>45168.5</v>
      </c>
      <c r="F3" s="12">
        <v>45168.5</v>
      </c>
      <c r="G3" s="12">
        <v>45168.708333333336</v>
      </c>
      <c r="H3" s="12">
        <v>45168.708333333336</v>
      </c>
      <c r="I3" s="14" t="s">
        <v>31</v>
      </c>
      <c r="J3" s="6" t="s">
        <v>179</v>
      </c>
      <c r="K3" s="6" t="s">
        <v>179</v>
      </c>
      <c r="L3" s="6" t="s">
        <v>179</v>
      </c>
      <c r="M3" s="6" t="s">
        <v>179</v>
      </c>
      <c r="N3" s="6" t="s">
        <v>179</v>
      </c>
      <c r="O3" s="13">
        <v>45172.625</v>
      </c>
    </row>
    <row r="4" spans="1:15" ht="20.25" customHeight="1">
      <c r="A4" s="4" t="s">
        <v>9</v>
      </c>
      <c r="B4" s="4" t="s">
        <v>10</v>
      </c>
      <c r="C4" s="4" t="s">
        <v>146</v>
      </c>
      <c r="D4" s="15" t="s">
        <v>11</v>
      </c>
      <c r="E4" s="12">
        <v>45168.5</v>
      </c>
      <c r="F4" s="12">
        <v>45168.5</v>
      </c>
      <c r="G4" s="12">
        <v>45168.708333333336</v>
      </c>
      <c r="H4" s="12">
        <v>45168.708333333336</v>
      </c>
      <c r="I4" s="14" t="s">
        <v>31</v>
      </c>
      <c r="J4" s="6" t="s">
        <v>179</v>
      </c>
      <c r="K4" s="6" t="s">
        <v>179</v>
      </c>
      <c r="L4" s="6" t="s">
        <v>179</v>
      </c>
      <c r="M4" s="6" t="s">
        <v>179</v>
      </c>
      <c r="N4" s="6" t="s">
        <v>179</v>
      </c>
      <c r="O4" s="13">
        <v>45172.854166666664</v>
      </c>
    </row>
    <row r="5" spans="1:15" ht="20.25" customHeight="1">
      <c r="A5" s="4" t="s">
        <v>9</v>
      </c>
      <c r="B5" s="4" t="s">
        <v>13</v>
      </c>
      <c r="C5" s="4" t="s">
        <v>147</v>
      </c>
      <c r="D5" s="15" t="s">
        <v>14</v>
      </c>
      <c r="E5" s="12">
        <v>45168.5</v>
      </c>
      <c r="F5" s="12">
        <v>45168.5</v>
      </c>
      <c r="G5" s="12">
        <v>45168.708333333336</v>
      </c>
      <c r="H5" s="12">
        <v>45168.708333333336</v>
      </c>
      <c r="I5" s="14" t="s">
        <v>31</v>
      </c>
      <c r="J5" s="6" t="s">
        <v>179</v>
      </c>
      <c r="K5" s="6" t="s">
        <v>179</v>
      </c>
      <c r="L5" s="6" t="s">
        <v>179</v>
      </c>
      <c r="M5" s="6" t="s">
        <v>179</v>
      </c>
      <c r="N5" s="6" t="s">
        <v>179</v>
      </c>
      <c r="O5" s="13">
        <v>45173.666666666664</v>
      </c>
    </row>
    <row r="6" spans="1:15" ht="20.25" customHeight="1">
      <c r="A6" s="4" t="s">
        <v>15</v>
      </c>
      <c r="B6" s="4" t="s">
        <v>16</v>
      </c>
      <c r="C6" s="4" t="s">
        <v>148</v>
      </c>
      <c r="D6" s="15" t="s">
        <v>17</v>
      </c>
      <c r="E6" s="12">
        <v>45168.5</v>
      </c>
      <c r="F6" s="12">
        <v>45168.5</v>
      </c>
      <c r="G6" s="12">
        <v>45168.708333333336</v>
      </c>
      <c r="H6" s="12">
        <v>45168.708333333336</v>
      </c>
      <c r="I6" s="14" t="s">
        <v>31</v>
      </c>
      <c r="J6" s="6" t="s">
        <v>179</v>
      </c>
      <c r="K6" s="6" t="s">
        <v>179</v>
      </c>
      <c r="L6" s="6" t="s">
        <v>179</v>
      </c>
      <c r="M6" s="6" t="s">
        <v>179</v>
      </c>
      <c r="N6" s="6" t="s">
        <v>179</v>
      </c>
      <c r="O6" s="13">
        <v>45172.354166666664</v>
      </c>
    </row>
    <row r="7" spans="1:15" ht="20.25" customHeight="1">
      <c r="A7" s="4" t="s">
        <v>15</v>
      </c>
      <c r="B7" s="4" t="s">
        <v>21</v>
      </c>
      <c r="C7" s="4" t="s">
        <v>151</v>
      </c>
      <c r="D7" s="15" t="s">
        <v>17</v>
      </c>
      <c r="E7" s="12">
        <v>45169.458333333336</v>
      </c>
      <c r="F7" s="12">
        <v>45169.625</v>
      </c>
      <c r="G7" s="12">
        <v>45169.708333333336</v>
      </c>
      <c r="H7" s="12">
        <v>45169.708333333336</v>
      </c>
      <c r="I7" s="14" t="s">
        <v>31</v>
      </c>
      <c r="J7" s="6" t="s">
        <v>179</v>
      </c>
      <c r="K7" s="6" t="s">
        <v>179</v>
      </c>
      <c r="L7" s="6" t="s">
        <v>179</v>
      </c>
      <c r="M7" s="6" t="s">
        <v>179</v>
      </c>
      <c r="N7" s="6" t="s">
        <v>179</v>
      </c>
      <c r="O7" s="13">
        <v>45172.770833333336</v>
      </c>
    </row>
    <row r="8" spans="1:15" ht="20.25" customHeight="1">
      <c r="A8" s="4" t="s">
        <v>23</v>
      </c>
      <c r="B8" s="4" t="s">
        <v>24</v>
      </c>
      <c r="C8" s="4" t="s">
        <v>152</v>
      </c>
      <c r="D8" s="15" t="s">
        <v>11</v>
      </c>
      <c r="E8" s="12">
        <v>45168.5</v>
      </c>
      <c r="F8" s="12">
        <v>45168.5</v>
      </c>
      <c r="G8" s="12">
        <v>45168.708333333336</v>
      </c>
      <c r="H8" s="12">
        <v>45168.708333333336</v>
      </c>
      <c r="I8" s="14" t="s">
        <v>31</v>
      </c>
      <c r="J8" s="6">
        <v>45170.375</v>
      </c>
      <c r="K8" s="6">
        <v>45170.375</v>
      </c>
      <c r="L8" s="6">
        <v>45170.5</v>
      </c>
      <c r="M8" s="6">
        <v>45170.5</v>
      </c>
      <c r="N8" s="6" t="s">
        <v>179</v>
      </c>
      <c r="O8" s="13">
        <v>45173.395833333336</v>
      </c>
    </row>
    <row r="9" spans="1:15" ht="20.25" customHeight="1">
      <c r="A9" s="4" t="s">
        <v>15</v>
      </c>
      <c r="B9" s="4" t="s">
        <v>27</v>
      </c>
      <c r="C9" s="4" t="s">
        <v>153</v>
      </c>
      <c r="D9" s="15" t="s">
        <v>17</v>
      </c>
      <c r="E9" s="12">
        <v>45169.5</v>
      </c>
      <c r="F9" s="12">
        <v>45169.5</v>
      </c>
      <c r="G9" s="12">
        <v>45169.708333333336</v>
      </c>
      <c r="H9" s="12">
        <v>45169.708333333336</v>
      </c>
      <c r="I9" s="14" t="s">
        <v>31</v>
      </c>
      <c r="J9" s="6" t="s">
        <v>179</v>
      </c>
      <c r="K9" s="6" t="s">
        <v>179</v>
      </c>
      <c r="L9" s="6" t="s">
        <v>179</v>
      </c>
      <c r="M9" s="6" t="s">
        <v>179</v>
      </c>
      <c r="N9" s="6" t="s">
        <v>179</v>
      </c>
      <c r="O9" s="13">
        <v>45173.041666666664</v>
      </c>
    </row>
    <row r="10" spans="1:15" ht="20.25" customHeight="1">
      <c r="A10" s="4" t="s">
        <v>9</v>
      </c>
      <c r="B10" s="4" t="s">
        <v>28</v>
      </c>
      <c r="C10" s="4" t="s">
        <v>154</v>
      </c>
      <c r="D10" s="15" t="s">
        <v>14</v>
      </c>
      <c r="E10" s="12">
        <v>45170.375</v>
      </c>
      <c r="F10" s="12">
        <v>45170.375</v>
      </c>
      <c r="G10" s="12">
        <v>45170.5</v>
      </c>
      <c r="H10" s="12">
        <v>45170.5</v>
      </c>
      <c r="I10" s="14" t="s">
        <v>31</v>
      </c>
      <c r="J10" s="6" t="s">
        <v>179</v>
      </c>
      <c r="K10" s="6" t="s">
        <v>179</v>
      </c>
      <c r="L10" s="6" t="s">
        <v>179</v>
      </c>
      <c r="M10" s="6" t="s">
        <v>179</v>
      </c>
      <c r="N10" s="6" t="s">
        <v>179</v>
      </c>
      <c r="O10" s="13">
        <v>45173.166666666664</v>
      </c>
    </row>
    <row r="11" spans="1:15" ht="20.25" customHeight="1">
      <c r="A11" s="4" t="s">
        <v>18</v>
      </c>
      <c r="B11" s="4" t="s">
        <v>29</v>
      </c>
      <c r="C11" s="4" t="s">
        <v>155</v>
      </c>
      <c r="D11" s="15" t="s">
        <v>14</v>
      </c>
      <c r="E11" s="12">
        <v>45171.375</v>
      </c>
      <c r="F11" s="12">
        <v>45171.375</v>
      </c>
      <c r="G11" s="12">
        <v>45171.5</v>
      </c>
      <c r="H11" s="12">
        <v>45171.5</v>
      </c>
      <c r="I11" s="14" t="s">
        <v>31</v>
      </c>
      <c r="J11" s="6" t="s">
        <v>179</v>
      </c>
      <c r="K11" s="6" t="s">
        <v>179</v>
      </c>
      <c r="L11" s="6" t="s">
        <v>179</v>
      </c>
      <c r="M11" s="6" t="s">
        <v>179</v>
      </c>
      <c r="N11" s="6">
        <v>45170.5</v>
      </c>
      <c r="O11" s="13">
        <v>45173</v>
      </c>
    </row>
    <row r="12" spans="1:15" ht="20.25" customHeight="1">
      <c r="A12" s="4" t="s">
        <v>9</v>
      </c>
      <c r="B12" s="4" t="s">
        <v>22</v>
      </c>
      <c r="C12" s="4" t="s">
        <v>156</v>
      </c>
      <c r="D12" s="15" t="s">
        <v>14</v>
      </c>
      <c r="E12" s="12">
        <v>45169.5</v>
      </c>
      <c r="F12" s="12">
        <v>45169.5</v>
      </c>
      <c r="G12" s="12">
        <v>45169.708333333336</v>
      </c>
      <c r="H12" s="12">
        <v>45169.708333333336</v>
      </c>
      <c r="I12" s="14" t="s">
        <v>31</v>
      </c>
      <c r="J12" s="6" t="s">
        <v>179</v>
      </c>
      <c r="K12" s="6" t="s">
        <v>179</v>
      </c>
      <c r="L12" s="6" t="s">
        <v>179</v>
      </c>
      <c r="M12" s="6" t="s">
        <v>179</v>
      </c>
      <c r="N12" s="6" t="s">
        <v>179</v>
      </c>
      <c r="O12" s="13">
        <v>45176</v>
      </c>
    </row>
    <row r="13" spans="1:15" ht="20.25" customHeight="1">
      <c r="A13" s="4" t="s">
        <v>18</v>
      </c>
      <c r="B13" s="4" t="s">
        <v>33</v>
      </c>
      <c r="C13" s="4" t="s">
        <v>158</v>
      </c>
      <c r="D13" s="15" t="s">
        <v>14</v>
      </c>
      <c r="E13" s="12">
        <v>45168.375</v>
      </c>
      <c r="F13" s="12">
        <v>45168.375</v>
      </c>
      <c r="G13" s="12">
        <v>45168.5</v>
      </c>
      <c r="H13" s="12">
        <v>45168.5</v>
      </c>
      <c r="I13" s="14" t="s">
        <v>31</v>
      </c>
      <c r="J13" s="6" t="s">
        <v>179</v>
      </c>
      <c r="K13" s="6" t="s">
        <v>179</v>
      </c>
      <c r="L13" s="6" t="s">
        <v>179</v>
      </c>
      <c r="M13" s="6" t="s">
        <v>179</v>
      </c>
      <c r="N13" s="6" t="s">
        <v>179</v>
      </c>
      <c r="O13" s="13">
        <v>45177</v>
      </c>
    </row>
    <row r="14" spans="1:15" ht="20.25" customHeight="1">
      <c r="A14" s="4" t="s">
        <v>18</v>
      </c>
      <c r="B14" s="4" t="s">
        <v>33</v>
      </c>
      <c r="C14" s="4" t="s">
        <v>159</v>
      </c>
      <c r="D14" s="15" t="s">
        <v>14</v>
      </c>
      <c r="E14" s="12">
        <v>45168.375</v>
      </c>
      <c r="F14" s="12">
        <v>45168.375</v>
      </c>
      <c r="G14" s="12">
        <v>45168.5</v>
      </c>
      <c r="H14" s="12">
        <v>45168.5</v>
      </c>
      <c r="I14" s="14" t="s">
        <v>31</v>
      </c>
      <c r="J14" s="6">
        <v>45172.5</v>
      </c>
      <c r="K14" s="6">
        <v>45172.5</v>
      </c>
      <c r="L14" s="6">
        <v>45172.708333333336</v>
      </c>
      <c r="M14" s="6">
        <v>45172.708333333336</v>
      </c>
      <c r="N14" s="6">
        <v>45170.5</v>
      </c>
      <c r="O14" s="13">
        <v>45173.958333333336</v>
      </c>
    </row>
    <row r="15" spans="1:15" ht="20.25" customHeight="1">
      <c r="A15" s="4" t="s">
        <v>15</v>
      </c>
      <c r="B15" s="4" t="s">
        <v>34</v>
      </c>
      <c r="C15" s="4" t="s">
        <v>160</v>
      </c>
      <c r="D15" s="15" t="s">
        <v>17</v>
      </c>
      <c r="E15" s="12">
        <v>45168.5</v>
      </c>
      <c r="F15" s="12">
        <v>45168.5</v>
      </c>
      <c r="G15" s="12">
        <v>45168.708333333336</v>
      </c>
      <c r="H15" s="12">
        <v>45168.708333333336</v>
      </c>
      <c r="I15" s="14" t="s">
        <v>31</v>
      </c>
      <c r="J15" s="6" t="s">
        <v>179</v>
      </c>
      <c r="K15" s="6" t="s">
        <v>179</v>
      </c>
      <c r="L15" s="6" t="s">
        <v>179</v>
      </c>
      <c r="M15" s="6" t="s">
        <v>179</v>
      </c>
      <c r="N15" s="6" t="s">
        <v>179</v>
      </c>
      <c r="O15" s="13">
        <v>45172.854166666664</v>
      </c>
    </row>
    <row r="16" spans="1:15" ht="20.25" customHeight="1">
      <c r="A16" s="4" t="s">
        <v>23</v>
      </c>
      <c r="B16" s="4" t="s">
        <v>35</v>
      </c>
      <c r="C16" s="4" t="s">
        <v>161</v>
      </c>
      <c r="D16" s="15" t="s">
        <v>17</v>
      </c>
      <c r="E16" s="12">
        <v>45171.416666666664</v>
      </c>
      <c r="F16" s="12">
        <v>45171.5</v>
      </c>
      <c r="G16" s="12">
        <v>45171.708333333336</v>
      </c>
      <c r="H16" s="12">
        <v>45171.708333333336</v>
      </c>
      <c r="I16" s="14" t="s">
        <v>31</v>
      </c>
      <c r="J16" s="6">
        <v>45172.375</v>
      </c>
      <c r="K16" s="6">
        <v>45172.375</v>
      </c>
      <c r="L16" s="6">
        <v>45172.5</v>
      </c>
      <c r="M16" s="6">
        <v>45172.5</v>
      </c>
      <c r="N16" s="6">
        <v>45173.5</v>
      </c>
      <c r="O16" s="13">
        <v>45173.645833333336</v>
      </c>
    </row>
    <row r="17" spans="1:15" ht="20.25" customHeight="1">
      <c r="A17" s="4" t="s">
        <v>15</v>
      </c>
      <c r="B17" s="4" t="s">
        <v>36</v>
      </c>
      <c r="C17" s="4" t="s">
        <v>162</v>
      </c>
      <c r="D17" s="15" t="s">
        <v>17</v>
      </c>
      <c r="E17" s="12">
        <v>45170.458333333336</v>
      </c>
      <c r="F17" s="12">
        <v>45170.5</v>
      </c>
      <c r="G17" s="12">
        <v>45170.708333333336</v>
      </c>
      <c r="H17" s="12">
        <v>45170.708333333336</v>
      </c>
      <c r="I17" s="14" t="s">
        <v>31</v>
      </c>
      <c r="J17" s="6">
        <v>45172.5</v>
      </c>
      <c r="K17" s="6">
        <v>45172.5</v>
      </c>
      <c r="L17" s="6">
        <v>45172.708333333336</v>
      </c>
      <c r="M17" s="6">
        <v>45172.708333333336</v>
      </c>
      <c r="N17" s="6">
        <v>45173.416666666664</v>
      </c>
      <c r="O17" s="13">
        <v>45173.8125</v>
      </c>
    </row>
    <row r="18" spans="1:15" ht="20.25" customHeight="1">
      <c r="A18" s="4" t="s">
        <v>15</v>
      </c>
      <c r="B18" s="4" t="s">
        <v>37</v>
      </c>
      <c r="C18" s="4" t="s">
        <v>163</v>
      </c>
      <c r="D18" s="15" t="s">
        <v>17</v>
      </c>
      <c r="E18" s="12">
        <v>45169.375</v>
      </c>
      <c r="F18" s="12">
        <v>45169.375</v>
      </c>
      <c r="G18" s="12">
        <v>45169.5</v>
      </c>
      <c r="H18" s="12">
        <v>45169.5</v>
      </c>
      <c r="I18" s="14" t="s">
        <v>31</v>
      </c>
      <c r="J18" s="6" t="s">
        <v>179</v>
      </c>
      <c r="K18" s="6" t="s">
        <v>179</v>
      </c>
      <c r="L18" s="6" t="s">
        <v>179</v>
      </c>
      <c r="M18" s="6" t="s">
        <v>179</v>
      </c>
      <c r="N18" s="6" t="s">
        <v>179</v>
      </c>
      <c r="O18" s="13">
        <v>45174.041666666664</v>
      </c>
    </row>
    <row r="19" spans="1:15" ht="20.25" customHeight="1">
      <c r="A19" s="4" t="s">
        <v>18</v>
      </c>
      <c r="B19" s="4" t="s">
        <v>38</v>
      </c>
      <c r="C19" s="4" t="s">
        <v>164</v>
      </c>
      <c r="D19" s="15" t="s">
        <v>17</v>
      </c>
      <c r="E19" s="12">
        <v>45171.5</v>
      </c>
      <c r="F19" s="12">
        <v>45171.5</v>
      </c>
      <c r="G19" s="12">
        <v>45171.708333333336</v>
      </c>
      <c r="H19" s="12">
        <v>45171.708333333336</v>
      </c>
      <c r="I19" s="14" t="s">
        <v>31</v>
      </c>
      <c r="J19" s="6">
        <v>45172.5</v>
      </c>
      <c r="K19" s="6">
        <v>45172.5</v>
      </c>
      <c r="L19" s="6">
        <v>45172.708333333336</v>
      </c>
      <c r="M19" s="6">
        <v>45172.708333333336</v>
      </c>
      <c r="N19" s="6">
        <v>45170.583333333336</v>
      </c>
      <c r="O19" s="13">
        <v>45173.208333333336</v>
      </c>
    </row>
    <row r="20" spans="1:15" ht="20.25" customHeight="1">
      <c r="A20" s="4" t="s">
        <v>18</v>
      </c>
      <c r="B20" s="4" t="s">
        <v>20</v>
      </c>
      <c r="C20" s="4" t="s">
        <v>150</v>
      </c>
      <c r="D20" s="15" t="s">
        <v>17</v>
      </c>
      <c r="E20" s="12">
        <v>45167.5</v>
      </c>
      <c r="F20" s="12">
        <v>45167.5</v>
      </c>
      <c r="G20" s="12">
        <v>45167.708333333336</v>
      </c>
      <c r="H20" s="12">
        <v>45167.708333333336</v>
      </c>
      <c r="I20" s="14" t="s">
        <v>31</v>
      </c>
      <c r="J20" s="6" t="s">
        <v>179</v>
      </c>
      <c r="K20" s="6" t="s">
        <v>179</v>
      </c>
      <c r="L20" s="6" t="s">
        <v>179</v>
      </c>
      <c r="M20" s="6" t="s">
        <v>179</v>
      </c>
      <c r="N20" s="6" t="s">
        <v>179</v>
      </c>
      <c r="O20" s="13">
        <v>45174.083333333336</v>
      </c>
    </row>
    <row r="21" spans="1:15" ht="20.25" customHeight="1">
      <c r="A21" s="4" t="s">
        <v>15</v>
      </c>
      <c r="B21" s="4" t="s">
        <v>39</v>
      </c>
      <c r="C21" s="4" t="s">
        <v>165</v>
      </c>
      <c r="D21" s="15" t="s">
        <v>11</v>
      </c>
      <c r="E21" s="12">
        <v>45171.5</v>
      </c>
      <c r="F21" s="12">
        <v>45171.5</v>
      </c>
      <c r="G21" s="12">
        <v>45171.708333333336</v>
      </c>
      <c r="H21" s="12">
        <v>45171.708333333336</v>
      </c>
      <c r="I21" s="14" t="s">
        <v>31</v>
      </c>
      <c r="J21" s="6">
        <v>45173.5</v>
      </c>
      <c r="K21" s="6">
        <v>45173.5</v>
      </c>
      <c r="L21" s="6">
        <v>45173.708333333336</v>
      </c>
      <c r="M21" s="6">
        <v>45173.708333333336</v>
      </c>
      <c r="N21" s="6" t="s">
        <v>179</v>
      </c>
      <c r="O21" s="13">
        <v>45175.854166666664</v>
      </c>
    </row>
    <row r="22" spans="1:15" ht="20.25" customHeight="1">
      <c r="A22" s="4" t="s">
        <v>15</v>
      </c>
      <c r="B22" s="4" t="s">
        <v>30</v>
      </c>
      <c r="C22" s="4" t="s">
        <v>167</v>
      </c>
      <c r="D22" s="15" t="s">
        <v>14</v>
      </c>
      <c r="E22" s="12">
        <v>45171.708333333336</v>
      </c>
      <c r="F22" s="12">
        <v>45171.5</v>
      </c>
      <c r="G22" s="12">
        <v>45171.708333333336</v>
      </c>
      <c r="H22" s="12">
        <v>45171.708333333336</v>
      </c>
      <c r="I22" s="14" t="s">
        <v>31</v>
      </c>
      <c r="J22" s="6">
        <v>45173.5</v>
      </c>
      <c r="K22" s="6">
        <v>45173.5</v>
      </c>
      <c r="L22" s="6">
        <v>45173.708333333336</v>
      </c>
      <c r="M22" s="6">
        <v>45173.708333333336</v>
      </c>
      <c r="N22" s="6" t="s">
        <v>179</v>
      </c>
      <c r="O22" s="13">
        <v>45176</v>
      </c>
    </row>
    <row r="23" spans="1:15" ht="20.25" customHeight="1">
      <c r="A23" s="4" t="s">
        <v>15</v>
      </c>
      <c r="B23" s="4" t="s">
        <v>32</v>
      </c>
      <c r="C23" s="4" t="s">
        <v>157</v>
      </c>
      <c r="D23" s="15" t="s">
        <v>17</v>
      </c>
      <c r="E23" s="12">
        <v>45171.333333333336</v>
      </c>
      <c r="F23" s="12">
        <v>45171.5</v>
      </c>
      <c r="G23" s="12">
        <v>45171.708333333336</v>
      </c>
      <c r="H23" s="12">
        <v>45171.708333333336</v>
      </c>
      <c r="I23" s="14" t="s">
        <v>31</v>
      </c>
      <c r="J23" s="6">
        <v>45172.5</v>
      </c>
      <c r="K23" s="6">
        <v>45172.5</v>
      </c>
      <c r="L23" s="6">
        <v>45172.708333333336</v>
      </c>
      <c r="M23" s="6">
        <v>45172.708333333336</v>
      </c>
      <c r="N23" s="6" t="s">
        <v>179</v>
      </c>
      <c r="O23" s="13">
        <v>45175.416666666664</v>
      </c>
    </row>
    <row r="24" spans="1:15" ht="20.25" customHeight="1">
      <c r="A24" s="4" t="s">
        <v>18</v>
      </c>
      <c r="B24" s="4" t="s">
        <v>42</v>
      </c>
      <c r="C24" s="4" t="s">
        <v>168</v>
      </c>
      <c r="D24" s="15" t="s">
        <v>14</v>
      </c>
      <c r="E24" s="12">
        <v>45171.5</v>
      </c>
      <c r="F24" s="12">
        <v>45171.5</v>
      </c>
      <c r="G24" s="12">
        <v>45171.708333333336</v>
      </c>
      <c r="H24" s="12">
        <v>45171.708333333336</v>
      </c>
      <c r="I24" s="14" t="s">
        <v>31</v>
      </c>
      <c r="J24" s="6">
        <v>45172.333333333336</v>
      </c>
      <c r="K24" s="6">
        <v>45172.5</v>
      </c>
      <c r="L24" s="6">
        <v>45172.708333333336</v>
      </c>
      <c r="M24" s="6">
        <v>45172.708333333336</v>
      </c>
      <c r="N24" s="6">
        <v>45171.416666666664</v>
      </c>
      <c r="O24" s="13">
        <v>45176</v>
      </c>
    </row>
    <row r="25" spans="1:15" ht="20.25" customHeight="1">
      <c r="A25" s="4" t="s">
        <v>18</v>
      </c>
      <c r="B25" s="4" t="s">
        <v>43</v>
      </c>
      <c r="C25" s="4" t="s">
        <v>169</v>
      </c>
      <c r="D25" s="15" t="s">
        <v>14</v>
      </c>
      <c r="E25" s="12">
        <v>45171.708333333336</v>
      </c>
      <c r="F25" s="12">
        <v>45171.5</v>
      </c>
      <c r="G25" s="12">
        <v>45171.708333333336</v>
      </c>
      <c r="H25" s="12">
        <v>45171.708333333336</v>
      </c>
      <c r="I25" s="14" t="s">
        <v>31</v>
      </c>
      <c r="J25" s="6">
        <v>45172.375</v>
      </c>
      <c r="K25" s="6">
        <v>45172.375</v>
      </c>
      <c r="L25" s="6">
        <v>45172.5</v>
      </c>
      <c r="M25" s="6">
        <v>45172.5</v>
      </c>
      <c r="N25" s="6">
        <v>45171.416666666664</v>
      </c>
      <c r="O25" s="13">
        <v>45175</v>
      </c>
    </row>
    <row r="26" spans="1:15" ht="20.25" customHeight="1">
      <c r="A26" s="4" t="s">
        <v>9</v>
      </c>
      <c r="B26" s="4" t="s">
        <v>44</v>
      </c>
      <c r="C26" s="4" t="s">
        <v>170</v>
      </c>
      <c r="D26" s="15" t="s">
        <v>14</v>
      </c>
      <c r="E26" s="12">
        <v>45172.5</v>
      </c>
      <c r="F26" s="12">
        <v>45172.375</v>
      </c>
      <c r="G26" s="12">
        <v>45172.5</v>
      </c>
      <c r="H26" s="12">
        <v>45172.5</v>
      </c>
      <c r="I26" s="14" t="s">
        <v>31</v>
      </c>
      <c r="J26" s="6">
        <v>45172.625</v>
      </c>
      <c r="K26" s="6">
        <v>45172.625</v>
      </c>
      <c r="L26" s="6">
        <v>45172.708333333336</v>
      </c>
      <c r="M26" s="6">
        <v>45172.75</v>
      </c>
      <c r="N26" s="6">
        <v>45171.583333333336</v>
      </c>
      <c r="O26" s="13">
        <v>45174.541666666664</v>
      </c>
    </row>
    <row r="27" spans="1:15" ht="20.25" customHeight="1">
      <c r="A27" s="4" t="s">
        <v>9</v>
      </c>
      <c r="B27" s="4" t="s">
        <v>46</v>
      </c>
      <c r="C27" s="4" t="s">
        <v>172</v>
      </c>
      <c r="D27" s="15" t="s">
        <v>14</v>
      </c>
      <c r="E27" s="12">
        <v>45172.375</v>
      </c>
      <c r="F27" s="12">
        <v>45172.375</v>
      </c>
      <c r="G27" s="12">
        <v>45172.5</v>
      </c>
      <c r="H27" s="12">
        <v>45172.5</v>
      </c>
      <c r="I27" s="14" t="s">
        <v>31</v>
      </c>
      <c r="J27" s="6">
        <v>45173.375</v>
      </c>
      <c r="K27" s="6">
        <v>45173.375</v>
      </c>
      <c r="L27" s="6">
        <v>45173.5</v>
      </c>
      <c r="M27" s="6">
        <v>45173.5</v>
      </c>
      <c r="N27" s="6" t="s">
        <v>179</v>
      </c>
      <c r="O27" s="13">
        <v>45175.166666666664</v>
      </c>
    </row>
    <row r="28" spans="1:15" ht="20.25" customHeight="1">
      <c r="A28" s="4" t="s">
        <v>15</v>
      </c>
      <c r="B28" s="4" t="s">
        <v>47</v>
      </c>
      <c r="C28" s="4" t="s">
        <v>173</v>
      </c>
      <c r="D28" s="15" t="s">
        <v>17</v>
      </c>
      <c r="E28" s="12">
        <v>45171.5</v>
      </c>
      <c r="F28" s="12">
        <v>45171.5</v>
      </c>
      <c r="G28" s="12">
        <v>45171.708333333336</v>
      </c>
      <c r="H28" s="12">
        <v>45171.708333333336</v>
      </c>
      <c r="I28" s="14" t="s">
        <v>31</v>
      </c>
      <c r="J28" s="6">
        <v>45172.375</v>
      </c>
      <c r="K28" s="6">
        <v>45172.375</v>
      </c>
      <c r="L28" s="6">
        <v>45172.5</v>
      </c>
      <c r="M28" s="6">
        <v>45172.5</v>
      </c>
      <c r="N28" s="6" t="s">
        <v>179</v>
      </c>
      <c r="O28" s="13">
        <v>45174.416666666664</v>
      </c>
    </row>
    <row r="29" spans="1:15" ht="20.25" customHeight="1">
      <c r="A29" s="4" t="s">
        <v>25</v>
      </c>
      <c r="B29" s="4" t="s">
        <v>26</v>
      </c>
      <c r="C29" s="4" t="s">
        <v>174</v>
      </c>
      <c r="D29" s="15" t="s">
        <v>17</v>
      </c>
      <c r="E29" s="12">
        <v>45168.291666666664</v>
      </c>
      <c r="F29" s="12">
        <v>45168.333333333336</v>
      </c>
      <c r="G29" s="12">
        <v>45168.5</v>
      </c>
      <c r="H29" s="12">
        <v>45168.5</v>
      </c>
      <c r="I29" s="14" t="s">
        <v>31</v>
      </c>
      <c r="J29" s="6" t="s">
        <v>179</v>
      </c>
      <c r="K29" s="6" t="s">
        <v>179</v>
      </c>
      <c r="L29" s="6" t="s">
        <v>179</v>
      </c>
      <c r="M29" s="6" t="s">
        <v>179</v>
      </c>
      <c r="N29" s="6" t="s">
        <v>179</v>
      </c>
      <c r="O29" s="13">
        <v>45175.583333333336</v>
      </c>
    </row>
    <row r="30" spans="1:15" ht="20.25" customHeight="1">
      <c r="A30" s="4" t="s">
        <v>15</v>
      </c>
      <c r="B30" s="4" t="s">
        <v>48</v>
      </c>
      <c r="C30" s="4" t="s">
        <v>175</v>
      </c>
      <c r="D30" s="15" t="s">
        <v>17</v>
      </c>
      <c r="E30" s="12">
        <v>45172.5</v>
      </c>
      <c r="F30" s="12">
        <v>45172.5</v>
      </c>
      <c r="G30" s="12">
        <v>45172.708333333336</v>
      </c>
      <c r="H30" s="12">
        <v>45172.708333333336</v>
      </c>
      <c r="I30" s="14" t="s">
        <v>31</v>
      </c>
      <c r="J30" s="6">
        <v>45172.583333333336</v>
      </c>
      <c r="K30" s="6">
        <v>45172.583333333336</v>
      </c>
      <c r="L30" s="6">
        <v>45172.708333333336</v>
      </c>
      <c r="M30" s="6">
        <v>45172.75</v>
      </c>
      <c r="N30" s="6" t="s">
        <v>179</v>
      </c>
      <c r="O30" s="13">
        <v>45173.333333333336</v>
      </c>
    </row>
    <row r="31" spans="1:15" ht="20.25" customHeight="1">
      <c r="A31" s="4" t="s">
        <v>15</v>
      </c>
      <c r="B31" s="4" t="s">
        <v>49</v>
      </c>
      <c r="C31" s="4" t="s">
        <v>176</v>
      </c>
      <c r="D31" s="15" t="s">
        <v>17</v>
      </c>
      <c r="E31" s="12">
        <v>45171.5</v>
      </c>
      <c r="F31" s="12">
        <v>45171.5</v>
      </c>
      <c r="G31" s="12">
        <v>45171.708333333336</v>
      </c>
      <c r="H31" s="12">
        <v>45171.708333333336</v>
      </c>
      <c r="I31" s="14" t="s">
        <v>31</v>
      </c>
      <c r="J31" s="6">
        <v>45172.375</v>
      </c>
      <c r="K31" s="6">
        <v>45172.375</v>
      </c>
      <c r="L31" s="6">
        <v>45172.5</v>
      </c>
      <c r="M31" s="6">
        <v>45172.5</v>
      </c>
      <c r="N31" s="6" t="s">
        <v>179</v>
      </c>
      <c r="O31" s="13">
        <v>45174.708333333336</v>
      </c>
    </row>
    <row r="32" spans="1:15" ht="20.25" customHeight="1">
      <c r="A32" s="4" t="s">
        <v>15</v>
      </c>
      <c r="B32" s="4" t="s">
        <v>50</v>
      </c>
      <c r="C32" s="4" t="s">
        <v>177</v>
      </c>
      <c r="D32" s="15" t="s">
        <v>17</v>
      </c>
      <c r="E32" s="12">
        <v>45172.708333333336</v>
      </c>
      <c r="F32" s="12">
        <v>45173.375</v>
      </c>
      <c r="G32" s="12">
        <v>45173</v>
      </c>
      <c r="H32" s="12">
        <v>45173</v>
      </c>
      <c r="I32" s="14" t="s">
        <v>31</v>
      </c>
      <c r="J32" s="6">
        <v>45173.5</v>
      </c>
      <c r="K32" s="6">
        <v>45173.5</v>
      </c>
      <c r="L32" s="6">
        <v>45173.5</v>
      </c>
      <c r="M32" s="6">
        <v>45173.5</v>
      </c>
      <c r="N32" s="6" t="s">
        <v>179</v>
      </c>
      <c r="O32" s="13">
        <v>45172.979166666664</v>
      </c>
    </row>
    <row r="33" spans="1:15" ht="20.25" customHeight="1">
      <c r="A33" s="4" t="s">
        <v>18</v>
      </c>
      <c r="B33" s="4" t="s">
        <v>19</v>
      </c>
      <c r="C33" s="4" t="s">
        <v>149</v>
      </c>
      <c r="D33" s="15" t="s">
        <v>14</v>
      </c>
      <c r="E33" s="12">
        <v>45171.708333333336</v>
      </c>
      <c r="F33" s="12">
        <v>45171.5</v>
      </c>
      <c r="G33" s="12">
        <v>45171.708333333336</v>
      </c>
      <c r="H33" s="12">
        <v>45171.708333333336</v>
      </c>
      <c r="I33" s="14" t="s">
        <v>31</v>
      </c>
      <c r="J33" s="6">
        <v>45173.5</v>
      </c>
      <c r="K33" s="6">
        <v>45173.5</v>
      </c>
      <c r="L33" s="6">
        <v>45173.708333333336</v>
      </c>
      <c r="M33" s="6">
        <v>45173.75</v>
      </c>
      <c r="N33" s="6">
        <v>45171.5</v>
      </c>
      <c r="O33" s="13">
        <v>45177</v>
      </c>
    </row>
    <row r="34" spans="1:15" ht="20.25" customHeight="1">
      <c r="A34" s="4" t="s">
        <v>15</v>
      </c>
      <c r="B34" s="4" t="s">
        <v>45</v>
      </c>
      <c r="C34" s="4" t="s">
        <v>171</v>
      </c>
      <c r="D34" s="15" t="s">
        <v>17</v>
      </c>
      <c r="E34" s="12">
        <v>45172.5</v>
      </c>
      <c r="F34" s="12">
        <v>45172.5</v>
      </c>
      <c r="G34" s="12">
        <v>45172.708333333336</v>
      </c>
      <c r="H34" s="12">
        <v>45172.708333333336</v>
      </c>
      <c r="I34" s="14" t="s">
        <v>31</v>
      </c>
      <c r="J34" s="6">
        <v>45173.375</v>
      </c>
      <c r="K34" s="6">
        <v>45173.375</v>
      </c>
      <c r="L34" s="6">
        <v>45173.5</v>
      </c>
      <c r="M34" s="6">
        <v>45173.5</v>
      </c>
      <c r="N34" s="6" t="s">
        <v>179</v>
      </c>
      <c r="O34" s="13">
        <v>45174.708333333336</v>
      </c>
    </row>
    <row r="35" spans="1:15" ht="20.25" customHeight="1">
      <c r="A35" s="4" t="s">
        <v>9</v>
      </c>
      <c r="B35" s="4" t="s">
        <v>41</v>
      </c>
      <c r="C35" s="4" t="s">
        <v>166</v>
      </c>
      <c r="D35" s="15" t="s">
        <v>14</v>
      </c>
      <c r="E35" s="12">
        <v>45173.5</v>
      </c>
      <c r="F35" s="12">
        <v>45173.5</v>
      </c>
      <c r="G35" s="12">
        <v>45173.708333333336</v>
      </c>
      <c r="H35" s="12">
        <v>45173.708333333336</v>
      </c>
      <c r="I35" s="14" t="s">
        <v>31</v>
      </c>
      <c r="J35" s="6">
        <v>45173.625</v>
      </c>
      <c r="K35" s="6">
        <v>45173.625</v>
      </c>
      <c r="L35" s="6">
        <v>45173.75</v>
      </c>
      <c r="M35" s="6">
        <v>45173.75</v>
      </c>
      <c r="N35" s="6">
        <v>45172.666666666664</v>
      </c>
      <c r="O35" s="13" t="s">
        <v>144</v>
      </c>
    </row>
    <row r="36" spans="1:15" ht="20.25" customHeight="1">
      <c r="A36" s="4" t="s">
        <v>9</v>
      </c>
      <c r="B36" s="4" t="s">
        <v>51</v>
      </c>
      <c r="C36" s="4" t="s">
        <v>178</v>
      </c>
      <c r="D36" s="15" t="s">
        <v>14</v>
      </c>
      <c r="E36" s="12">
        <v>45173.625</v>
      </c>
      <c r="F36" s="12">
        <v>45173.5</v>
      </c>
      <c r="G36" s="12">
        <v>45173.708333333336</v>
      </c>
      <c r="H36" s="12">
        <v>45173.708333333336</v>
      </c>
      <c r="I36" s="14" t="s">
        <v>31</v>
      </c>
      <c r="J36" s="6">
        <v>45173.708333333336</v>
      </c>
      <c r="K36" s="6">
        <v>45174.375</v>
      </c>
      <c r="L36" s="6">
        <v>45174.5</v>
      </c>
      <c r="M36" s="6">
        <v>45174.5</v>
      </c>
      <c r="N36" s="6">
        <v>45173.416666666664</v>
      </c>
      <c r="O36" s="13" t="s">
        <v>144</v>
      </c>
    </row>
    <row r="37" spans="1:15" ht="20.25" customHeight="1">
      <c r="D37" s="15"/>
      <c r="E37" s="16"/>
      <c r="F37" s="16"/>
      <c r="G37" s="16"/>
      <c r="H37" s="16"/>
      <c r="I37" s="17"/>
      <c r="J37" s="6"/>
      <c r="K37" s="18"/>
      <c r="L37" s="6"/>
      <c r="M37" s="18"/>
      <c r="N37" s="6"/>
      <c r="O37" s="19"/>
    </row>
    <row r="38" spans="1:15" ht="20.25" customHeight="1">
      <c r="D38" s="15"/>
      <c r="E38" s="16"/>
      <c r="F38" s="16"/>
      <c r="G38" s="16"/>
      <c r="H38" s="16"/>
      <c r="I38" s="17"/>
      <c r="J38" s="6"/>
      <c r="K38" s="18"/>
      <c r="L38" s="6"/>
      <c r="M38" s="18"/>
      <c r="N38" s="6"/>
      <c r="O38" s="19"/>
    </row>
    <row r="39" spans="1:15" ht="20.25" customHeight="1">
      <c r="D39" s="15"/>
      <c r="E39" s="16"/>
      <c r="F39" s="16"/>
      <c r="G39" s="16"/>
      <c r="H39" s="16"/>
      <c r="I39" s="17"/>
      <c r="J39" s="6"/>
      <c r="K39" s="18"/>
      <c r="L39" s="6"/>
      <c r="M39" s="18"/>
      <c r="N39" s="6"/>
      <c r="O39" s="19"/>
    </row>
    <row r="40" spans="1:15" ht="20.25" customHeight="1">
      <c r="D40" s="15"/>
      <c r="E40" s="16"/>
      <c r="F40" s="16"/>
      <c r="G40" s="16"/>
      <c r="H40" s="16"/>
      <c r="I40" s="17"/>
      <c r="J40" s="6"/>
      <c r="K40" s="18"/>
      <c r="L40" s="6"/>
      <c r="M40" s="18"/>
      <c r="N40" s="6"/>
      <c r="O40" s="19"/>
    </row>
    <row r="41" spans="1:15" ht="20.25" customHeight="1">
      <c r="D41" s="15"/>
      <c r="E41" s="16"/>
      <c r="F41" s="16"/>
      <c r="G41" s="16"/>
      <c r="H41" s="16"/>
      <c r="I41" s="17"/>
      <c r="J41" s="6"/>
      <c r="K41" s="18"/>
      <c r="L41" s="6"/>
      <c r="M41" s="18"/>
      <c r="N41" s="6"/>
      <c r="O41" s="19"/>
    </row>
    <row r="42" spans="1:15" ht="20.25" customHeight="1">
      <c r="D42" s="15"/>
      <c r="E42" s="16"/>
      <c r="F42" s="16"/>
      <c r="G42" s="16"/>
      <c r="H42" s="16"/>
      <c r="I42" s="17"/>
      <c r="J42" s="6"/>
      <c r="K42" s="18"/>
      <c r="L42" s="6"/>
      <c r="M42" s="18"/>
      <c r="N42" s="6"/>
      <c r="O42" s="19"/>
    </row>
    <row r="43" spans="1:15" ht="20.25" customHeight="1">
      <c r="D43" s="15"/>
      <c r="E43" s="16"/>
      <c r="F43" s="16"/>
      <c r="G43" s="16"/>
      <c r="H43" s="16"/>
      <c r="I43" s="17"/>
      <c r="J43" s="6"/>
      <c r="K43" s="18"/>
      <c r="L43" s="6"/>
      <c r="M43" s="18"/>
      <c r="N43" s="6"/>
      <c r="O43" s="19"/>
    </row>
    <row r="44" spans="1:15" ht="20.25" customHeight="1">
      <c r="D44" s="15"/>
      <c r="E44" s="16"/>
      <c r="F44" s="16"/>
      <c r="G44" s="16"/>
      <c r="H44" s="16"/>
      <c r="I44" s="17"/>
      <c r="J44" s="6"/>
      <c r="K44" s="18"/>
      <c r="L44" s="6"/>
      <c r="M44" s="18"/>
      <c r="N44" s="6"/>
      <c r="O44" s="19"/>
    </row>
    <row r="45" spans="1:15" ht="20.25" customHeight="1">
      <c r="D45" s="15"/>
      <c r="E45" s="16"/>
      <c r="F45" s="16"/>
      <c r="G45" s="16"/>
      <c r="H45" s="16"/>
      <c r="I45" s="17"/>
      <c r="J45" s="6"/>
      <c r="K45" s="18"/>
      <c r="L45" s="6"/>
      <c r="M45" s="18"/>
      <c r="N45" s="6"/>
      <c r="O45" s="19"/>
    </row>
  </sheetData>
  <mergeCells count="6">
    <mergeCell ref="A1:A2"/>
    <mergeCell ref="J1:O1"/>
    <mergeCell ref="E1:I1"/>
    <mergeCell ref="D1:D2"/>
    <mergeCell ref="C1:C2"/>
    <mergeCell ref="B1:B2"/>
  </mergeCells>
  <conditionalFormatting sqref="J3:N45">
    <cfRule type="cellIs" dxfId="0" priority="5" operator="notEqual">
      <formula>"沒有更改"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1D3C1-44CB-4D3F-A23D-3CB4E12B983E}">
  <dimension ref="A1"/>
  <sheetViews>
    <sheetView topLeftCell="A165" workbookViewId="0">
      <selection sqref="A1:B204"/>
    </sheetView>
  </sheetViews>
  <sheetFormatPr defaultRowHeight="15"/>
  <sheetData/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299"/>
  <sheetViews>
    <sheetView topLeftCell="A223" zoomScale="145" zoomScaleNormal="145" workbookViewId="0">
      <selection activeCell="E245" sqref="E245"/>
    </sheetView>
  </sheetViews>
  <sheetFormatPr defaultRowHeight="15"/>
  <cols>
    <col min="1" max="1" width="9.28515625" style="7"/>
    <col min="2" max="2" width="12.5703125" style="7" bestFit="1" customWidth="1"/>
    <col min="52" max="52" width="9.42578125" bestFit="1" customWidth="1"/>
    <col min="53" max="53" width="30" bestFit="1" customWidth="1"/>
    <col min="54" max="54" width="110.7109375" bestFit="1" customWidth="1"/>
  </cols>
  <sheetData>
    <row r="1" spans="1:54">
      <c r="A1" s="7" t="s">
        <v>63</v>
      </c>
      <c r="C1" t="s">
        <v>64</v>
      </c>
      <c r="D1" t="s">
        <v>1</v>
      </c>
      <c r="E1" t="s">
        <v>2</v>
      </c>
      <c r="F1" t="s">
        <v>65</v>
      </c>
      <c r="G1" t="s">
        <v>66</v>
      </c>
      <c r="H1" t="s">
        <v>67</v>
      </c>
      <c r="I1" t="s">
        <v>68</v>
      </c>
      <c r="J1" t="s">
        <v>69</v>
      </c>
      <c r="K1" t="s">
        <v>70</v>
      </c>
      <c r="L1" t="s">
        <v>3</v>
      </c>
      <c r="M1" t="s">
        <v>71</v>
      </c>
      <c r="N1" t="s">
        <v>72</v>
      </c>
      <c r="O1" t="s">
        <v>73</v>
      </c>
      <c r="P1" t="s">
        <v>74</v>
      </c>
      <c r="Q1" t="s">
        <v>75</v>
      </c>
      <c r="R1" t="s">
        <v>76</v>
      </c>
      <c r="S1" t="s">
        <v>77</v>
      </c>
      <c r="T1" t="s">
        <v>78</v>
      </c>
      <c r="U1" t="s">
        <v>79</v>
      </c>
      <c r="V1" t="s">
        <v>80</v>
      </c>
      <c r="W1" t="s">
        <v>81</v>
      </c>
      <c r="X1" t="s">
        <v>82</v>
      </c>
      <c r="Y1" t="s">
        <v>83</v>
      </c>
      <c r="Z1" t="s">
        <v>84</v>
      </c>
      <c r="AA1" t="s">
        <v>85</v>
      </c>
      <c r="AB1" t="s">
        <v>86</v>
      </c>
      <c r="AC1" t="s">
        <v>87</v>
      </c>
      <c r="AD1" t="s">
        <v>88</v>
      </c>
      <c r="AE1" t="s">
        <v>89</v>
      </c>
      <c r="AF1" t="s">
        <v>90</v>
      </c>
      <c r="AG1" t="s">
        <v>91</v>
      </c>
      <c r="AH1" t="s">
        <v>92</v>
      </c>
      <c r="AI1" t="s">
        <v>93</v>
      </c>
      <c r="AJ1" t="s">
        <v>94</v>
      </c>
      <c r="AK1" t="s">
        <v>95</v>
      </c>
      <c r="AL1" t="s">
        <v>96</v>
      </c>
      <c r="AM1" t="s">
        <v>97</v>
      </c>
      <c r="AN1" t="s">
        <v>98</v>
      </c>
      <c r="AO1" t="s">
        <v>99</v>
      </c>
      <c r="AP1" t="s">
        <v>100</v>
      </c>
      <c r="AQ1" t="s">
        <v>101</v>
      </c>
      <c r="AR1" t="s">
        <v>102</v>
      </c>
      <c r="AS1" t="s">
        <v>103</v>
      </c>
      <c r="AT1" t="s">
        <v>104</v>
      </c>
      <c r="AU1" t="s">
        <v>105</v>
      </c>
      <c r="AV1" t="s">
        <v>106</v>
      </c>
      <c r="AW1" t="s">
        <v>107</v>
      </c>
      <c r="AX1" t="s">
        <v>108</v>
      </c>
      <c r="AY1" t="s">
        <v>109</v>
      </c>
      <c r="AZ1">
        <v>50</v>
      </c>
      <c r="BA1">
        <v>51</v>
      </c>
      <c r="BB1">
        <v>52</v>
      </c>
    </row>
    <row r="2" spans="1:54">
      <c r="A2" s="7" t="str">
        <f>C2&amp;D2&amp;R2</f>
        <v>A3SXFZ050S</v>
      </c>
      <c r="B2" s="8">
        <f>+AP2-0</f>
        <v>43674.916666666664</v>
      </c>
      <c r="C2" t="str">
        <f>"A3S"</f>
        <v>A3S</v>
      </c>
      <c r="D2" t="str">
        <f>"XFZ"</f>
        <v>XFZ</v>
      </c>
      <c r="E2" t="str">
        <f>"XIN FU ZHOU"</f>
        <v>XIN FU ZHOU</v>
      </c>
      <c r="F2" t="str">
        <f>"COSCO"</f>
        <v>COSCO</v>
      </c>
      <c r="G2" t="str">
        <f t="shared" ref="G2:G65" si="0">"OOCL"</f>
        <v>OOCL</v>
      </c>
      <c r="H2" t="str">
        <f>""</f>
        <v/>
      </c>
      <c r="I2" t="str">
        <f>"050"</f>
        <v>050</v>
      </c>
      <c r="J2" t="str">
        <f>"S"</f>
        <v>S</v>
      </c>
      <c r="K2" t="str">
        <f>"3"</f>
        <v>3</v>
      </c>
      <c r="L2" t="str">
        <f>"HKG02"</f>
        <v>HKG02</v>
      </c>
      <c r="M2" t="str">
        <f>"HIT - Hongkong International Terminals"</f>
        <v>HIT - Hongkong International Terminals</v>
      </c>
      <c r="N2" t="str">
        <f t="shared" ref="N2:N65" si="1">"HKG"</f>
        <v>HKG</v>
      </c>
      <c r="O2" t="str">
        <f t="shared" ref="O2:O25" si="2">"1"</f>
        <v>1</v>
      </c>
      <c r="P2" t="str">
        <f>"BPBE"</f>
        <v>BPBE</v>
      </c>
      <c r="Q2" t="str">
        <f>"050S"</f>
        <v>050S</v>
      </c>
      <c r="R2" t="str">
        <f>"050S"</f>
        <v>050S</v>
      </c>
      <c r="S2" t="str">
        <f>"CHT"</f>
        <v>CHT</v>
      </c>
      <c r="T2" t="str">
        <f>"29 Jul 2019 12:00"</f>
        <v>29 Jul 2019 12:00</v>
      </c>
      <c r="U2" t="str">
        <f>"30 Jul 2019 08:00"</f>
        <v>30 Jul 2019 08:00</v>
      </c>
      <c r="V2" t="str">
        <f>"20h"</f>
        <v>20h</v>
      </c>
      <c r="W2" t="str">
        <f>"01 Aug 2019 13:00"</f>
        <v>01 Aug 2019 13:00</v>
      </c>
      <c r="X2" t="str">
        <f>""</f>
        <v/>
      </c>
      <c r="Y2" t="str">
        <f>"02 Aug 2019 00:00"</f>
        <v>02 Aug 2019 00:00</v>
      </c>
      <c r="Z2" t="str">
        <f>""</f>
        <v/>
      </c>
      <c r="AA2" t="str">
        <f>""</f>
        <v/>
      </c>
      <c r="AB2" t="str">
        <f t="shared" ref="AB2:AB65" si="3">"NN"</f>
        <v>NN</v>
      </c>
      <c r="AC2" t="str">
        <f>"CC"</f>
        <v>CC</v>
      </c>
      <c r="AD2" t="str">
        <f>"73"</f>
        <v>73</v>
      </c>
      <c r="AE2" t="str">
        <f>"64"</f>
        <v>64</v>
      </c>
      <c r="AF2" t="str">
        <f>"02 Aug 2019 13:00"</f>
        <v>02 Aug 2019 13:00</v>
      </c>
      <c r="AG2" t="str">
        <f>"02 Aug 2019 13:00"</f>
        <v>02 Aug 2019 13:00</v>
      </c>
      <c r="AH2" t="str">
        <f>"02 Aug 2019 13:00"</f>
        <v>02 Aug 2019 13:00</v>
      </c>
      <c r="AI2" t="str">
        <f>"02 Aug 2019 13:00"</f>
        <v>02 Aug 2019 13:00</v>
      </c>
      <c r="AJ2" t="str">
        <f>"02 Aug 2019 13:00"</f>
        <v>02 Aug 2019 13:00</v>
      </c>
      <c r="AK2" t="str">
        <f>"28 Jul 2019 23:00"</f>
        <v>28 Jul 2019 23:00</v>
      </c>
      <c r="AL2" t="str">
        <f>"28 Jul 2019 23:00"</f>
        <v>28 Jul 2019 23:00</v>
      </c>
      <c r="AM2" t="str">
        <f>"28 Jul 2019 23:00"</f>
        <v>28 Jul 2019 23:00</v>
      </c>
      <c r="AN2" t="str">
        <f>"28 Jul 2019 23:00"</f>
        <v>28 Jul 2019 23:00</v>
      </c>
      <c r="AO2" t="str">
        <f>"28 Jul 2019 23:00"</f>
        <v>28 Jul 2019 23:00</v>
      </c>
      <c r="AP2" t="str">
        <f>"28 Jul 2019 22:00"</f>
        <v>28 Jul 2019 22:00</v>
      </c>
      <c r="AQ2" t="str">
        <f>"02 Aug 2019 00:00"</f>
        <v>02 Aug 2019 00:00</v>
      </c>
      <c r="AR2" t="str">
        <f t="shared" ref="AR2:AT17" si="4">"Y"</f>
        <v>Y</v>
      </c>
      <c r="AS2" t="str">
        <f t="shared" si="4"/>
        <v>Y</v>
      </c>
      <c r="AT2" t="str">
        <f t="shared" si="4"/>
        <v>Y</v>
      </c>
      <c r="AU2" t="str">
        <f t="shared" ref="AU2:AV21" si="5">"N"</f>
        <v>N</v>
      </c>
      <c r="AV2" t="str">
        <f t="shared" si="5"/>
        <v>N</v>
      </c>
      <c r="AW2" t="str">
        <f>""</f>
        <v/>
      </c>
      <c r="AX2" t="str">
        <f t="shared" ref="AX2:AX65" si="6">"No"</f>
        <v>No</v>
      </c>
      <c r="AY2" t="str">
        <f>"XFZ-050S will phase in A3S at ZIA"</f>
        <v>XFZ-050S will phase in A3S at ZIA</v>
      </c>
      <c r="AZ2" t="s">
        <v>12</v>
      </c>
      <c r="BA2" t="s">
        <v>110</v>
      </c>
      <c r="BB2" t="s">
        <v>110</v>
      </c>
    </row>
    <row r="3" spans="1:54">
      <c r="A3" s="7" t="str">
        <f t="shared" ref="A3:A66" si="7">C3&amp;D3&amp;R3</f>
        <v>CHL4WHHN037</v>
      </c>
      <c r="B3" s="8">
        <f t="shared" ref="B3:B66" si="8">+AP3-0</f>
        <v>43677.958333333336</v>
      </c>
      <c r="C3" t="str">
        <f>"CHL4"</f>
        <v>CHL4</v>
      </c>
      <c r="D3" t="str">
        <f>"WHH"</f>
        <v>WHH</v>
      </c>
      <c r="E3" t="str">
        <f>"WAN HAI 612"</f>
        <v>WAN HAI 612</v>
      </c>
      <c r="F3" t="str">
        <f>"WHL"</f>
        <v>WHL</v>
      </c>
      <c r="G3" t="str">
        <f t="shared" si="0"/>
        <v>OOCL</v>
      </c>
      <c r="H3" t="str">
        <f>""</f>
        <v/>
      </c>
      <c r="I3" t="str">
        <f>"037"</f>
        <v>037</v>
      </c>
      <c r="J3" t="str">
        <f>"N"</f>
        <v>N</v>
      </c>
      <c r="K3" t="str">
        <f>"2"</f>
        <v>2</v>
      </c>
      <c r="L3" t="str">
        <f>"HKG02"</f>
        <v>HKG02</v>
      </c>
      <c r="M3" t="str">
        <f>"HIT - Hongkong International Terminals"</f>
        <v>HIT - Hongkong International Terminals</v>
      </c>
      <c r="N3" t="str">
        <f t="shared" si="1"/>
        <v>HKG</v>
      </c>
      <c r="O3" t="str">
        <f t="shared" si="2"/>
        <v>1</v>
      </c>
      <c r="P3" t="str">
        <f>"9V3465"</f>
        <v>9V3465</v>
      </c>
      <c r="Q3" t="str">
        <f>"N037"</f>
        <v>N037</v>
      </c>
      <c r="R3" t="str">
        <f>"N037"</f>
        <v>N037</v>
      </c>
      <c r="S3" t="str">
        <f>""</f>
        <v/>
      </c>
      <c r="T3" t="str">
        <f>"01 Aug 2019 18:00"</f>
        <v>01 Aug 2019 18:00</v>
      </c>
      <c r="U3" t="str">
        <f>"02 Aug 2019 09:00"</f>
        <v>02 Aug 2019 09:00</v>
      </c>
      <c r="V3" t="str">
        <f>"15h"</f>
        <v>15h</v>
      </c>
      <c r="W3" t="str">
        <f>"01 Aug 2019 18:00"</f>
        <v>01 Aug 2019 18:00</v>
      </c>
      <c r="X3" t="str">
        <f>""</f>
        <v/>
      </c>
      <c r="Y3" t="str">
        <f>"02 Aug 2019 09:00"</f>
        <v>02 Aug 2019 09:00</v>
      </c>
      <c r="Z3" t="str">
        <f>""</f>
        <v/>
      </c>
      <c r="AA3" t="str">
        <f>""</f>
        <v/>
      </c>
      <c r="AB3" t="str">
        <f t="shared" si="3"/>
        <v>NN</v>
      </c>
      <c r="AC3" t="str">
        <f>"LL"</f>
        <v>LL</v>
      </c>
      <c r="AD3" t="str">
        <f>"0"</f>
        <v>0</v>
      </c>
      <c r="AE3" t="str">
        <f>"0"</f>
        <v>0</v>
      </c>
      <c r="AF3" t="str">
        <f>"02 Aug 2019 10:00"</f>
        <v>02 Aug 2019 10:00</v>
      </c>
      <c r="AG3" t="str">
        <f>"02 Aug 2019 10:00"</f>
        <v>02 Aug 2019 10:00</v>
      </c>
      <c r="AH3" t="str">
        <f>"02 Aug 2019 10:00"</f>
        <v>02 Aug 2019 10:00</v>
      </c>
      <c r="AI3" t="str">
        <f>"02 Aug 2019 10:00"</f>
        <v>02 Aug 2019 10:00</v>
      </c>
      <c r="AJ3" t="str">
        <f>"02 Aug 2019 10:00"</f>
        <v>02 Aug 2019 10:00</v>
      </c>
      <c r="AK3" t="str">
        <f t="shared" ref="AK3:AP5" si="9">"31 Jul 2019 23:00"</f>
        <v>31 Jul 2019 23:00</v>
      </c>
      <c r="AL3" t="str">
        <f t="shared" si="9"/>
        <v>31 Jul 2019 23:00</v>
      </c>
      <c r="AM3" t="str">
        <f t="shared" si="9"/>
        <v>31 Jul 2019 23:00</v>
      </c>
      <c r="AN3" t="str">
        <f t="shared" si="9"/>
        <v>31 Jul 2019 23:00</v>
      </c>
      <c r="AO3" t="str">
        <f t="shared" si="9"/>
        <v>31 Jul 2019 23:00</v>
      </c>
      <c r="AP3" t="str">
        <f t="shared" si="9"/>
        <v>31 Jul 2019 23:00</v>
      </c>
      <c r="AQ3" t="str">
        <f>"02 Aug 2019 10:00"</f>
        <v>02 Aug 2019 10:00</v>
      </c>
      <c r="AR3" t="str">
        <f t="shared" si="4"/>
        <v>Y</v>
      </c>
      <c r="AS3" t="str">
        <f t="shared" si="4"/>
        <v>Y</v>
      </c>
      <c r="AT3" t="str">
        <f t="shared" si="4"/>
        <v>Y</v>
      </c>
      <c r="AU3" t="str">
        <f t="shared" si="5"/>
        <v>N</v>
      </c>
      <c r="AV3" t="str">
        <f t="shared" si="5"/>
        <v>N</v>
      </c>
      <c r="AW3" t="str">
        <f>""</f>
        <v/>
      </c>
      <c r="AX3" t="str">
        <f t="shared" si="6"/>
        <v>No</v>
      </c>
      <c r="AY3" t="str">
        <f>""</f>
        <v/>
      </c>
      <c r="AZ3" t="s">
        <v>12</v>
      </c>
      <c r="BA3" t="s">
        <v>110</v>
      </c>
      <c r="BB3" t="s">
        <v>111</v>
      </c>
    </row>
    <row r="4" spans="1:54">
      <c r="A4" s="7" t="str">
        <f t="shared" si="7"/>
        <v>CIX3ABS0IS2QE1PL</v>
      </c>
      <c r="B4" s="8">
        <f t="shared" si="8"/>
        <v>43677.916666666664</v>
      </c>
      <c r="C4" t="str">
        <f>"CIX3"</f>
        <v>CIX3</v>
      </c>
      <c r="D4" t="str">
        <f>"ABS"</f>
        <v>ABS</v>
      </c>
      <c r="E4" t="str">
        <f>"APL COLUMBUS"</f>
        <v>APL COLUMBUS</v>
      </c>
      <c r="F4" t="str">
        <f>"APL"</f>
        <v>APL</v>
      </c>
      <c r="G4" t="str">
        <f t="shared" si="0"/>
        <v>OOCL</v>
      </c>
      <c r="H4" t="str">
        <f>""</f>
        <v/>
      </c>
      <c r="I4" t="str">
        <f>"003"</f>
        <v>003</v>
      </c>
      <c r="J4" t="str">
        <f>"E"</f>
        <v>E</v>
      </c>
      <c r="K4" t="str">
        <f>"6"</f>
        <v>6</v>
      </c>
      <c r="L4" t="str">
        <f>"HKG02"</f>
        <v>HKG02</v>
      </c>
      <c r="M4" t="str">
        <f>"HIT - Hongkong International Terminals"</f>
        <v>HIT - Hongkong International Terminals</v>
      </c>
      <c r="N4" t="str">
        <f t="shared" si="1"/>
        <v>HKG</v>
      </c>
      <c r="O4" t="str">
        <f t="shared" si="2"/>
        <v>1</v>
      </c>
      <c r="P4" t="str">
        <f>"9V9920"</f>
        <v>9V9920</v>
      </c>
      <c r="Q4" t="str">
        <f>"0IS2QE1PL"</f>
        <v>0IS2QE1PL</v>
      </c>
      <c r="R4" t="str">
        <f>"0IS2QE1PL"</f>
        <v>0IS2QE1PL</v>
      </c>
      <c r="S4" t="str">
        <f>""</f>
        <v/>
      </c>
      <c r="T4" t="str">
        <f>"01 Aug 2019 12:00"</f>
        <v>01 Aug 2019 12:00</v>
      </c>
      <c r="U4" t="str">
        <f>"02 Aug 2019 08:00"</f>
        <v>02 Aug 2019 08:00</v>
      </c>
      <c r="V4" t="str">
        <f>"20h"</f>
        <v>20h</v>
      </c>
      <c r="W4" t="str">
        <f>"02 Aug 2019 05:00"</f>
        <v>02 Aug 2019 05:00</v>
      </c>
      <c r="X4" t="str">
        <f>""</f>
        <v/>
      </c>
      <c r="Y4" t="str">
        <f>"02 Aug 2019 20:30"</f>
        <v>02 Aug 2019 20:30</v>
      </c>
      <c r="Z4" t="str">
        <f>""</f>
        <v/>
      </c>
      <c r="AA4" t="str">
        <f>""</f>
        <v/>
      </c>
      <c r="AB4" t="str">
        <f t="shared" si="3"/>
        <v>NN</v>
      </c>
      <c r="AC4" t="str">
        <f>"CC"</f>
        <v>CC</v>
      </c>
      <c r="AD4" t="str">
        <f>"17"</f>
        <v>17</v>
      </c>
      <c r="AE4" t="str">
        <f>"13"</f>
        <v>13</v>
      </c>
      <c r="AF4" t="str">
        <f>"03 Aug 2019 05:00"</f>
        <v>03 Aug 2019 05:00</v>
      </c>
      <c r="AG4" t="str">
        <f>"03 Aug 2019 05:00"</f>
        <v>03 Aug 2019 05:00</v>
      </c>
      <c r="AH4" t="str">
        <f>"03 Aug 2019 05:00"</f>
        <v>03 Aug 2019 05:00</v>
      </c>
      <c r="AI4" t="str">
        <f>"03 Aug 2019 05:00"</f>
        <v>03 Aug 2019 05:00</v>
      </c>
      <c r="AJ4" t="str">
        <f>"03 Aug 2019 05:00"</f>
        <v>03 Aug 2019 05:00</v>
      </c>
      <c r="AK4" t="str">
        <f t="shared" si="9"/>
        <v>31 Jul 2019 23:00</v>
      </c>
      <c r="AL4" t="str">
        <f t="shared" si="9"/>
        <v>31 Jul 2019 23:00</v>
      </c>
      <c r="AM4" t="str">
        <f t="shared" si="9"/>
        <v>31 Jul 2019 23:00</v>
      </c>
      <c r="AN4" t="str">
        <f t="shared" si="9"/>
        <v>31 Jul 2019 23:00</v>
      </c>
      <c r="AO4" t="str">
        <f t="shared" si="9"/>
        <v>31 Jul 2019 23:00</v>
      </c>
      <c r="AP4" t="str">
        <f>"31 Jul 2019 22:00"</f>
        <v>31 Jul 2019 22:00</v>
      </c>
      <c r="AQ4" t="str">
        <f>"02 Aug 2019 20:30"</f>
        <v>02 Aug 2019 20:30</v>
      </c>
      <c r="AR4" t="str">
        <f t="shared" si="4"/>
        <v>Y</v>
      </c>
      <c r="AS4" t="str">
        <f t="shared" si="4"/>
        <v>Y</v>
      </c>
      <c r="AT4" t="str">
        <f t="shared" si="4"/>
        <v>Y</v>
      </c>
      <c r="AU4" t="str">
        <f t="shared" si="5"/>
        <v>N</v>
      </c>
      <c r="AV4" t="str">
        <f t="shared" si="5"/>
        <v>N</v>
      </c>
      <c r="AW4" t="str">
        <f>"Delayed : Previous Port Delayed"</f>
        <v>Delayed : Previous Port Delayed</v>
      </c>
      <c r="AX4" t="str">
        <f t="shared" si="6"/>
        <v>No</v>
      </c>
      <c r="AY4" t="str">
        <f>""</f>
        <v/>
      </c>
      <c r="AZ4" t="s">
        <v>12</v>
      </c>
      <c r="BA4" t="s">
        <v>112</v>
      </c>
      <c r="BB4" t="s">
        <v>113</v>
      </c>
    </row>
    <row r="5" spans="1:54">
      <c r="A5" s="7" t="str">
        <f t="shared" si="7"/>
        <v>ECX1SLP002E</v>
      </c>
      <c r="B5" s="8">
        <f t="shared" si="8"/>
        <v>43677.833333333336</v>
      </c>
      <c r="C5" t="str">
        <f>"ECX1"</f>
        <v>ECX1</v>
      </c>
      <c r="D5" t="str">
        <f>"SLP"</f>
        <v>SLP</v>
      </c>
      <c r="E5" t="str">
        <f>"COSCO SHIPPING CAMELLIA"</f>
        <v>COSCO SHIPPING CAMELLIA</v>
      </c>
      <c r="F5" t="str">
        <f>"COSCO"</f>
        <v>COSCO</v>
      </c>
      <c r="G5" t="str">
        <f t="shared" si="0"/>
        <v>OOCL</v>
      </c>
      <c r="H5" t="str">
        <f>"USEC2"</f>
        <v>USEC2</v>
      </c>
      <c r="I5" t="str">
        <f>"002"</f>
        <v>002</v>
      </c>
      <c r="J5" t="str">
        <f>"E"</f>
        <v>E</v>
      </c>
      <c r="K5" t="str">
        <f>"2"</f>
        <v>2</v>
      </c>
      <c r="L5" t="str">
        <f>"HKG02"</f>
        <v>HKG02</v>
      </c>
      <c r="M5" t="str">
        <f>"HIT - Hongkong International Terminals"</f>
        <v>HIT - Hongkong International Terminals</v>
      </c>
      <c r="N5" t="str">
        <f t="shared" si="1"/>
        <v>HKG</v>
      </c>
      <c r="O5" t="str">
        <f t="shared" si="2"/>
        <v>1</v>
      </c>
      <c r="P5" t="str">
        <f>"VRSK6"</f>
        <v>VRSK6</v>
      </c>
      <c r="Q5" t="str">
        <f>"001W"</f>
        <v>001W</v>
      </c>
      <c r="R5" t="str">
        <f>"002E"</f>
        <v>002E</v>
      </c>
      <c r="S5" t="str">
        <f>"CHT"</f>
        <v>CHT</v>
      </c>
      <c r="T5" t="str">
        <f>"01 Aug 2019 10:00"</f>
        <v>01 Aug 2019 10:00</v>
      </c>
      <c r="U5" t="str">
        <f>"02 Aug 2019 10:00"</f>
        <v>02 Aug 2019 10:00</v>
      </c>
      <c r="V5" t="str">
        <f>"24h"</f>
        <v>24h</v>
      </c>
      <c r="W5" t="str">
        <f>"01 Aug 2019 10:00"</f>
        <v>01 Aug 2019 10:00</v>
      </c>
      <c r="X5" t="str">
        <f>""</f>
        <v/>
      </c>
      <c r="Y5" t="str">
        <f>"02 Aug 2019 10:00"</f>
        <v>02 Aug 2019 10:00</v>
      </c>
      <c r="Z5" t="str">
        <f>""</f>
        <v/>
      </c>
      <c r="AA5" t="str">
        <f>""</f>
        <v/>
      </c>
      <c r="AB5" t="str">
        <f t="shared" si="3"/>
        <v>NN</v>
      </c>
      <c r="AC5" t="str">
        <f>"CC"</f>
        <v>CC</v>
      </c>
      <c r="AD5" t="str">
        <f>"0"</f>
        <v>0</v>
      </c>
      <c r="AE5" t="str">
        <f>"0"</f>
        <v>0</v>
      </c>
      <c r="AF5" t="str">
        <f>"02 Aug 2019 10:00"</f>
        <v>02 Aug 2019 10:00</v>
      </c>
      <c r="AG5" t="str">
        <f>"02 Aug 2019 10:00"</f>
        <v>02 Aug 2019 10:00</v>
      </c>
      <c r="AH5" t="str">
        <f>"02 Aug 2019 10:00"</f>
        <v>02 Aug 2019 10:00</v>
      </c>
      <c r="AI5" t="str">
        <f>"02 Aug 2019 10:00"</f>
        <v>02 Aug 2019 10:00</v>
      </c>
      <c r="AJ5" t="str">
        <f>"02 Aug 2019 10:00"</f>
        <v>02 Aug 2019 10:00</v>
      </c>
      <c r="AK5" t="str">
        <f t="shared" si="9"/>
        <v>31 Jul 2019 23:00</v>
      </c>
      <c r="AL5" t="str">
        <f t="shared" si="9"/>
        <v>31 Jul 2019 23:00</v>
      </c>
      <c r="AM5" t="str">
        <f t="shared" si="9"/>
        <v>31 Jul 2019 23:00</v>
      </c>
      <c r="AN5" t="str">
        <f t="shared" si="9"/>
        <v>31 Jul 2019 23:00</v>
      </c>
      <c r="AO5" t="str">
        <f t="shared" si="9"/>
        <v>31 Jul 2019 23:00</v>
      </c>
      <c r="AP5" t="str">
        <f>"31 Jul 2019 20:00"</f>
        <v>31 Jul 2019 20:00</v>
      </c>
      <c r="AQ5" t="str">
        <f>"02 Aug 2019 10:00"</f>
        <v>02 Aug 2019 10:00</v>
      </c>
      <c r="AR5" t="str">
        <f t="shared" si="4"/>
        <v>Y</v>
      </c>
      <c r="AS5" t="str">
        <f t="shared" si="4"/>
        <v>Y</v>
      </c>
      <c r="AT5" t="str">
        <f t="shared" si="4"/>
        <v>Y</v>
      </c>
      <c r="AU5" t="str">
        <f t="shared" si="5"/>
        <v>N</v>
      </c>
      <c r="AV5" t="str">
        <f t="shared" si="5"/>
        <v>N</v>
      </c>
      <c r="AW5" t="str">
        <f>""</f>
        <v/>
      </c>
      <c r="AX5" t="str">
        <f t="shared" si="6"/>
        <v>No</v>
      </c>
      <c r="AY5" t="str">
        <f>""</f>
        <v/>
      </c>
      <c r="AZ5" t="s">
        <v>12</v>
      </c>
      <c r="BA5" t="s">
        <v>110</v>
      </c>
      <c r="BB5" t="s">
        <v>110</v>
      </c>
    </row>
    <row r="6" spans="1:54">
      <c r="A6" s="7" t="str">
        <f t="shared" si="7"/>
        <v>GCC1LRA0PG4HE1MA</v>
      </c>
      <c r="B6" s="8">
        <f t="shared" si="8"/>
        <v>43678.666666666664</v>
      </c>
      <c r="C6" t="str">
        <f>"GCC1"</f>
        <v>GCC1</v>
      </c>
      <c r="D6" t="str">
        <f>"LRA"</f>
        <v>LRA</v>
      </c>
      <c r="E6" t="str">
        <f>"CMA CGM LA TRAVIATA"</f>
        <v>CMA CGM LA TRAVIATA</v>
      </c>
      <c r="F6" t="str">
        <f>"CMA CGM"</f>
        <v>CMA CGM</v>
      </c>
      <c r="G6" t="str">
        <f t="shared" si="0"/>
        <v>OOCL</v>
      </c>
      <c r="H6" t="str">
        <f>"USEC6"</f>
        <v>USEC6</v>
      </c>
      <c r="I6" t="str">
        <f>"259"</f>
        <v>259</v>
      </c>
      <c r="J6" t="str">
        <f>"E"</f>
        <v>E</v>
      </c>
      <c r="K6" t="str">
        <f>"1"</f>
        <v>1</v>
      </c>
      <c r="L6" t="str">
        <f>"HKG02"</f>
        <v>HKG02</v>
      </c>
      <c r="M6" t="str">
        <f>"HIT - Hongkong International Terminals"</f>
        <v>HIT - Hongkong International Terminals</v>
      </c>
      <c r="N6" t="str">
        <f t="shared" si="1"/>
        <v>HKG</v>
      </c>
      <c r="O6" t="str">
        <f t="shared" si="2"/>
        <v>1</v>
      </c>
      <c r="P6" t="str">
        <f>"FMFT"</f>
        <v>FMFT</v>
      </c>
      <c r="Q6" t="str">
        <f>"0PG4HE1MA"</f>
        <v>0PG4HE1MA</v>
      </c>
      <c r="R6" t="str">
        <f>"0PG4HE1MA"</f>
        <v>0PG4HE1MA</v>
      </c>
      <c r="S6" t="str">
        <f>"ACT"</f>
        <v>ACT</v>
      </c>
      <c r="T6" t="str">
        <f>"02 Aug 2019 08:00"</f>
        <v>02 Aug 2019 08:00</v>
      </c>
      <c r="U6" t="str">
        <f>"02 Aug 2019 23:00"</f>
        <v>02 Aug 2019 23:00</v>
      </c>
      <c r="V6" t="str">
        <f>"15h"</f>
        <v>15h</v>
      </c>
      <c r="W6" t="str">
        <f>"02 Aug 2019 08:00"</f>
        <v>02 Aug 2019 08:00</v>
      </c>
      <c r="X6" t="str">
        <f>""</f>
        <v/>
      </c>
      <c r="Y6" t="str">
        <f>"02 Aug 2019 23:00"</f>
        <v>02 Aug 2019 23:00</v>
      </c>
      <c r="Z6" t="str">
        <f>""</f>
        <v/>
      </c>
      <c r="AA6" t="str">
        <f>""</f>
        <v/>
      </c>
      <c r="AB6" t="str">
        <f t="shared" si="3"/>
        <v>NN</v>
      </c>
      <c r="AC6" t="str">
        <f>"LL"</f>
        <v>LL</v>
      </c>
      <c r="AD6" t="str">
        <f>"0"</f>
        <v>0</v>
      </c>
      <c r="AE6" t="str">
        <f>"0"</f>
        <v>0</v>
      </c>
      <c r="AF6" t="str">
        <f>"03 Aug 2019 00:01"</f>
        <v>03 Aug 2019 00:01</v>
      </c>
      <c r="AG6" t="str">
        <f>"03 Aug 2019 00:01"</f>
        <v>03 Aug 2019 00:01</v>
      </c>
      <c r="AH6" t="str">
        <f>"03 Aug 2019 00:01"</f>
        <v>03 Aug 2019 00:01</v>
      </c>
      <c r="AI6" t="str">
        <f>"03 Aug 2019 00:01"</f>
        <v>03 Aug 2019 00:01</v>
      </c>
      <c r="AJ6" t="str">
        <f>"03 Aug 2019 00:01"</f>
        <v>03 Aug 2019 00:01</v>
      </c>
      <c r="AK6" t="str">
        <f t="shared" ref="AK6:AP6" si="10">"01 Aug 2019 16:00"</f>
        <v>01 Aug 2019 16:00</v>
      </c>
      <c r="AL6" t="str">
        <f t="shared" si="10"/>
        <v>01 Aug 2019 16:00</v>
      </c>
      <c r="AM6" t="str">
        <f t="shared" si="10"/>
        <v>01 Aug 2019 16:00</v>
      </c>
      <c r="AN6" t="str">
        <f t="shared" si="10"/>
        <v>01 Aug 2019 16:00</v>
      </c>
      <c r="AO6" t="str">
        <f t="shared" si="10"/>
        <v>01 Aug 2019 16:00</v>
      </c>
      <c r="AP6" t="str">
        <f t="shared" si="10"/>
        <v>01 Aug 2019 16:00</v>
      </c>
      <c r="AQ6" t="str">
        <f>"02 Aug 2019 23:00"</f>
        <v>02 Aug 2019 23:00</v>
      </c>
      <c r="AR6" t="str">
        <f t="shared" si="4"/>
        <v>Y</v>
      </c>
      <c r="AS6" t="str">
        <f t="shared" si="4"/>
        <v>Y</v>
      </c>
      <c r="AT6" t="str">
        <f>"N"</f>
        <v>N</v>
      </c>
      <c r="AU6" t="str">
        <f t="shared" si="5"/>
        <v>N</v>
      </c>
      <c r="AV6" t="str">
        <f t="shared" si="5"/>
        <v>N</v>
      </c>
      <c r="AW6" t="str">
        <f>""</f>
        <v/>
      </c>
      <c r="AX6" t="str">
        <f t="shared" si="6"/>
        <v>No</v>
      </c>
      <c r="AY6" t="str">
        <f>"LRA-259E phase in at HKG to replace FLR"</f>
        <v>LRA-259E phase in at HKG to replace FLR</v>
      </c>
      <c r="AZ6" t="s">
        <v>12</v>
      </c>
      <c r="BA6" t="s">
        <v>110</v>
      </c>
      <c r="BB6" t="s">
        <v>110</v>
      </c>
    </row>
    <row r="7" spans="1:54">
      <c r="A7" s="7" t="str">
        <f t="shared" si="7"/>
        <v>HHX2BHG1915W</v>
      </c>
      <c r="B7" s="8" t="e">
        <f t="shared" si="8"/>
        <v>#VALUE!</v>
      </c>
      <c r="C7" t="str">
        <f>"HHX2"</f>
        <v>HHX2</v>
      </c>
      <c r="D7" t="str">
        <f>"BHG"</f>
        <v>BHG</v>
      </c>
      <c r="E7" t="str">
        <f>"BAOHANG"</f>
        <v>BAOHANG</v>
      </c>
      <c r="F7" t="str">
        <f>"ASL"</f>
        <v>ASL</v>
      </c>
      <c r="G7" t="str">
        <f t="shared" si="0"/>
        <v>OOCL</v>
      </c>
      <c r="H7" t="str">
        <f>""</f>
        <v/>
      </c>
      <c r="I7" t="str">
        <f>"015"</f>
        <v>015</v>
      </c>
      <c r="J7" t="str">
        <f>"W"</f>
        <v>W</v>
      </c>
      <c r="K7" t="str">
        <f>"3"</f>
        <v>3</v>
      </c>
      <c r="L7" t="str">
        <f>"HKG12"</f>
        <v>HKG12</v>
      </c>
      <c r="M7" t="str">
        <f>"China Merchants Container Services Limited"</f>
        <v>China Merchants Container Services Limited</v>
      </c>
      <c r="N7" t="str">
        <f t="shared" si="1"/>
        <v>HKG</v>
      </c>
      <c r="O7" t="str">
        <f t="shared" si="2"/>
        <v>1</v>
      </c>
      <c r="P7" t="str">
        <f>"3FTD7"</f>
        <v>3FTD7</v>
      </c>
      <c r="Q7" t="str">
        <f>"1915W"</f>
        <v>1915W</v>
      </c>
      <c r="R7" t="str">
        <f>"1915W"</f>
        <v>1915W</v>
      </c>
      <c r="S7" t="str">
        <f>""</f>
        <v/>
      </c>
      <c r="T7" t="str">
        <f>"31 Jul 2019 07:00"</f>
        <v>31 Jul 2019 07:00</v>
      </c>
      <c r="U7" t="str">
        <f>"31 Jul 2019 23:00"</f>
        <v>31 Jul 2019 23:00</v>
      </c>
      <c r="V7" t="str">
        <f>"16h"</f>
        <v>16h</v>
      </c>
      <c r="W7" t="str">
        <f>"31 Jul 2019 08:00"</f>
        <v>31 Jul 2019 08:00</v>
      </c>
      <c r="X7" t="str">
        <f>"31 Jul 2019 09:23"</f>
        <v>31 Jul 2019 09:23</v>
      </c>
      <c r="Y7" t="str">
        <f>"01 Aug 2019 00:00"</f>
        <v>01 Aug 2019 00:00</v>
      </c>
      <c r="Z7" t="str">
        <f>""</f>
        <v/>
      </c>
      <c r="AA7" t="str">
        <f>""</f>
        <v/>
      </c>
      <c r="AB7" t="str">
        <f t="shared" si="3"/>
        <v>NN</v>
      </c>
      <c r="AC7" t="str">
        <f>"AC"</f>
        <v>AC</v>
      </c>
      <c r="AD7" t="str">
        <f>"2"</f>
        <v>2</v>
      </c>
      <c r="AE7" t="str">
        <f>"1"</f>
        <v>1</v>
      </c>
      <c r="AF7" t="str">
        <f>"01 Aug 2019 00:00"</f>
        <v>01 Aug 2019 00:00</v>
      </c>
      <c r="AG7" t="str">
        <f>"01 Aug 2019 00:00"</f>
        <v>01 Aug 2019 00:00</v>
      </c>
      <c r="AH7" t="str">
        <f>"01 Aug 2019 00:00"</f>
        <v>01 Aug 2019 00:00</v>
      </c>
      <c r="AI7" t="str">
        <f>"01 Aug 2019 00:00"</f>
        <v>01 Aug 2019 00:00</v>
      </c>
      <c r="AJ7" t="str">
        <f>"01 Aug 2019 00:00"</f>
        <v>01 Aug 2019 00:00</v>
      </c>
      <c r="AK7" t="str">
        <f>"30 Jul 2019 23:00"</f>
        <v>30 Jul 2019 23:00</v>
      </c>
      <c r="AL7" t="str">
        <f>"30 Jul 2019 23:00"</f>
        <v>30 Jul 2019 23:00</v>
      </c>
      <c r="AM7" t="str">
        <f>"30 Jul 2019 23:00"</f>
        <v>30 Jul 2019 23:00</v>
      </c>
      <c r="AN7" t="str">
        <f>"30 Jul 2019 23:00"</f>
        <v>30 Jul 2019 23:00</v>
      </c>
      <c r="AO7" t="str">
        <f>"30 Jul 2019 23:00"</f>
        <v>30 Jul 2019 23:00</v>
      </c>
      <c r="AP7" t="str">
        <f>""</f>
        <v/>
      </c>
      <c r="AQ7" t="str">
        <f>"01 Aug 2019 00:00"</f>
        <v>01 Aug 2019 00:00</v>
      </c>
      <c r="AR7" t="str">
        <f t="shared" si="4"/>
        <v>Y</v>
      </c>
      <c r="AS7" t="str">
        <f t="shared" si="4"/>
        <v>Y</v>
      </c>
      <c r="AT7" t="str">
        <f t="shared" si="4"/>
        <v>Y</v>
      </c>
      <c r="AU7" t="str">
        <f t="shared" si="5"/>
        <v>N</v>
      </c>
      <c r="AV7" t="str">
        <f t="shared" si="5"/>
        <v>N</v>
      </c>
      <c r="AW7" t="str">
        <f>""</f>
        <v/>
      </c>
      <c r="AX7" t="str">
        <f t="shared" si="6"/>
        <v>No</v>
      </c>
      <c r="AY7" t="str">
        <f>""</f>
        <v/>
      </c>
      <c r="AZ7" t="s">
        <v>12</v>
      </c>
      <c r="BA7" t="s">
        <v>114</v>
      </c>
      <c r="BB7" t="s">
        <v>110</v>
      </c>
    </row>
    <row r="8" spans="1:54">
      <c r="A8" s="7" t="str">
        <f t="shared" si="7"/>
        <v>JCVRSM1721N</v>
      </c>
      <c r="B8" s="8">
        <f t="shared" si="8"/>
        <v>43676.541666666664</v>
      </c>
      <c r="C8" t="str">
        <f>"JCV"</f>
        <v>JCV</v>
      </c>
      <c r="D8" t="str">
        <f>"RSM"</f>
        <v>RSM</v>
      </c>
      <c r="E8" t="str">
        <f>"RHL ASTRUM"</f>
        <v>RHL ASTRUM</v>
      </c>
      <c r="F8" t="str">
        <f>"COSCO"</f>
        <v>COSCO</v>
      </c>
      <c r="G8" t="str">
        <f t="shared" si="0"/>
        <v>OOCL</v>
      </c>
      <c r="H8" t="str">
        <f>""</f>
        <v/>
      </c>
      <c r="I8" t="str">
        <f>"721"</f>
        <v>721</v>
      </c>
      <c r="J8" t="str">
        <f>"N"</f>
        <v>N</v>
      </c>
      <c r="K8" t="str">
        <f>"2"</f>
        <v>2</v>
      </c>
      <c r="L8" t="str">
        <f t="shared" ref="L8:L25" si="11">"HKG02"</f>
        <v>HKG02</v>
      </c>
      <c r="M8" t="str">
        <f t="shared" ref="M8:M25" si="12">"HIT - Hongkong International Terminals"</f>
        <v>HIT - Hongkong International Terminals</v>
      </c>
      <c r="N8" t="str">
        <f t="shared" si="1"/>
        <v>HKG</v>
      </c>
      <c r="O8" t="str">
        <f t="shared" si="2"/>
        <v>1</v>
      </c>
      <c r="P8" t="str">
        <f>"A8JE8"</f>
        <v>A8JE8</v>
      </c>
      <c r="Q8" t="str">
        <f>"1721N"</f>
        <v>1721N</v>
      </c>
      <c r="R8" t="str">
        <f>"1721N"</f>
        <v>1721N</v>
      </c>
      <c r="S8" t="str">
        <f>"ACT"</f>
        <v>ACT</v>
      </c>
      <c r="T8" t="str">
        <f>"31 Jul 2019 03:00"</f>
        <v>31 Jul 2019 03:00</v>
      </c>
      <c r="U8" t="str">
        <f>"31 Jul 2019 17:00"</f>
        <v>31 Jul 2019 17:00</v>
      </c>
      <c r="V8" t="str">
        <f>"14h"</f>
        <v>14h</v>
      </c>
      <c r="W8" t="str">
        <f>"31 Jul 2019 06:30"</f>
        <v>31 Jul 2019 06:30</v>
      </c>
      <c r="X8" t="str">
        <f>"31 Jul 2019 07:08"</f>
        <v>31 Jul 2019 07:08</v>
      </c>
      <c r="Y8" t="str">
        <f>"31 Jul 2019 23:00"</f>
        <v>31 Jul 2019 23:00</v>
      </c>
      <c r="Z8" t="str">
        <f>"31 Jul 2019 13:46"</f>
        <v>31 Jul 2019 13:46</v>
      </c>
      <c r="AA8" t="str">
        <f>"6h 38m"</f>
        <v>6h 38m</v>
      </c>
      <c r="AB8" t="str">
        <f t="shared" si="3"/>
        <v>NN</v>
      </c>
      <c r="AC8" t="str">
        <f>"AA"</f>
        <v>AA</v>
      </c>
      <c r="AD8" t="str">
        <f>"4"</f>
        <v>4</v>
      </c>
      <c r="AE8" t="str">
        <f>"-3"</f>
        <v>-3</v>
      </c>
      <c r="AF8" t="str">
        <f>"01 Aug 2019 06:30"</f>
        <v>01 Aug 2019 06:30</v>
      </c>
      <c r="AG8" t="str">
        <f>"01 Aug 2019 06:30"</f>
        <v>01 Aug 2019 06:30</v>
      </c>
      <c r="AH8" t="str">
        <f>"01 Aug 2019 06:30"</f>
        <v>01 Aug 2019 06:30</v>
      </c>
      <c r="AI8" t="str">
        <f>"01 Aug 2019 06:30"</f>
        <v>01 Aug 2019 06:30</v>
      </c>
      <c r="AJ8" t="str">
        <f>"01 Aug 2019 06:30"</f>
        <v>01 Aug 2019 06:30</v>
      </c>
      <c r="AK8" t="str">
        <f>"30 Jul 2019 17:00"</f>
        <v>30 Jul 2019 17:00</v>
      </c>
      <c r="AL8" t="str">
        <f>"30 Jul 2019 17:00"</f>
        <v>30 Jul 2019 17:00</v>
      </c>
      <c r="AM8" t="str">
        <f>"30 Jul 2019 17:00"</f>
        <v>30 Jul 2019 17:00</v>
      </c>
      <c r="AN8" t="str">
        <f>"30 Jul 2019 17:00"</f>
        <v>30 Jul 2019 17:00</v>
      </c>
      <c r="AO8" t="str">
        <f>"30 Jul 2019 17:00"</f>
        <v>30 Jul 2019 17:00</v>
      </c>
      <c r="AP8" t="str">
        <f>"30 Jul 2019 13:00"</f>
        <v>30 Jul 2019 13:00</v>
      </c>
      <c r="AQ8" t="str">
        <f>"31 Jul 2019 13:46"</f>
        <v>31 Jul 2019 13:46</v>
      </c>
      <c r="AR8" t="str">
        <f t="shared" si="4"/>
        <v>Y</v>
      </c>
      <c r="AS8" t="str">
        <f t="shared" si="4"/>
        <v>Y</v>
      </c>
      <c r="AT8" t="str">
        <f t="shared" si="4"/>
        <v>Y</v>
      </c>
      <c r="AU8" t="str">
        <f t="shared" si="5"/>
        <v>N</v>
      </c>
      <c r="AV8" t="str">
        <f t="shared" si="5"/>
        <v>N</v>
      </c>
      <c r="AW8" t="str">
        <f>""</f>
        <v/>
      </c>
      <c r="AX8" t="str">
        <f t="shared" si="6"/>
        <v>No</v>
      </c>
      <c r="AY8" t="str">
        <f>""</f>
        <v/>
      </c>
      <c r="AZ8" t="s">
        <v>12</v>
      </c>
      <c r="BA8" t="s">
        <v>110</v>
      </c>
      <c r="BB8" t="s">
        <v>110</v>
      </c>
    </row>
    <row r="9" spans="1:54">
      <c r="A9" s="7" t="str">
        <f t="shared" si="7"/>
        <v>JKNNFR060S</v>
      </c>
      <c r="B9" s="8">
        <f t="shared" si="8"/>
        <v>43676.958333333336</v>
      </c>
      <c r="C9" t="str">
        <f>"JKN"</f>
        <v>JKN</v>
      </c>
      <c r="D9" t="str">
        <f>"NFR"</f>
        <v>NFR</v>
      </c>
      <c r="E9" t="str">
        <f>"NYK FURANO"</f>
        <v>NYK FURANO</v>
      </c>
      <c r="F9" t="str">
        <f>"ONE"</f>
        <v>ONE</v>
      </c>
      <c r="G9" t="str">
        <f t="shared" si="0"/>
        <v>OOCL</v>
      </c>
      <c r="H9" t="str">
        <f>""</f>
        <v/>
      </c>
      <c r="I9" t="str">
        <f>"060"</f>
        <v>060</v>
      </c>
      <c r="J9" t="str">
        <f>"S"</f>
        <v>S</v>
      </c>
      <c r="K9" t="str">
        <f>"6"</f>
        <v>6</v>
      </c>
      <c r="L9" t="str">
        <f t="shared" si="11"/>
        <v>HKG02</v>
      </c>
      <c r="M9" t="str">
        <f t="shared" si="12"/>
        <v>HIT - Hongkong International Terminals</v>
      </c>
      <c r="N9" t="str">
        <f t="shared" si="1"/>
        <v>HKG</v>
      </c>
      <c r="O9" t="str">
        <f t="shared" si="2"/>
        <v>1</v>
      </c>
      <c r="P9" t="str">
        <f>"9V8740"</f>
        <v>9V8740</v>
      </c>
      <c r="Q9" t="str">
        <f>"060S"</f>
        <v>060S</v>
      </c>
      <c r="R9" t="str">
        <f>"060S"</f>
        <v>060S</v>
      </c>
      <c r="S9" t="str">
        <f>""</f>
        <v/>
      </c>
      <c r="T9" t="str">
        <f>"01 Aug 2019 00:30"</f>
        <v>01 Aug 2019 00:30</v>
      </c>
      <c r="U9" t="str">
        <f>"01 Aug 2019 19:30"</f>
        <v>01 Aug 2019 19:30</v>
      </c>
      <c r="V9" t="str">
        <f>"19h"</f>
        <v>19h</v>
      </c>
      <c r="W9" t="str">
        <f>"01 Aug 2019 23:00"</f>
        <v>01 Aug 2019 23:00</v>
      </c>
      <c r="X9" t="str">
        <f>""</f>
        <v/>
      </c>
      <c r="Y9" t="str">
        <f>"02 Aug 2019 09:30"</f>
        <v>02 Aug 2019 09:30</v>
      </c>
      <c r="Z9" t="str">
        <f>""</f>
        <v/>
      </c>
      <c r="AA9" t="str">
        <f>""</f>
        <v/>
      </c>
      <c r="AB9" t="str">
        <f t="shared" si="3"/>
        <v>NN</v>
      </c>
      <c r="AC9" t="str">
        <f>"CC"</f>
        <v>CC</v>
      </c>
      <c r="AD9" t="str">
        <f>"23"</f>
        <v>23</v>
      </c>
      <c r="AE9" t="str">
        <f>"14"</f>
        <v>14</v>
      </c>
      <c r="AF9" t="str">
        <f>"02 Aug 2019 23:00"</f>
        <v>02 Aug 2019 23:00</v>
      </c>
      <c r="AG9" t="str">
        <f>"02 Aug 2019 23:00"</f>
        <v>02 Aug 2019 23:00</v>
      </c>
      <c r="AH9" t="str">
        <f>"02 Aug 2019 23:00"</f>
        <v>02 Aug 2019 23:00</v>
      </c>
      <c r="AI9" t="str">
        <f>"02 Aug 2019 23:00"</f>
        <v>02 Aug 2019 23:00</v>
      </c>
      <c r="AJ9" t="str">
        <f>"02 Aug 2019 23:00"</f>
        <v>02 Aug 2019 23:00</v>
      </c>
      <c r="AK9" t="str">
        <f t="shared" ref="AK9:AP9" si="13">"30 Jul 2019 23:00"</f>
        <v>30 Jul 2019 23:00</v>
      </c>
      <c r="AL9" t="str">
        <f t="shared" si="13"/>
        <v>30 Jul 2019 23:00</v>
      </c>
      <c r="AM9" t="str">
        <f t="shared" si="13"/>
        <v>30 Jul 2019 23:00</v>
      </c>
      <c r="AN9" t="str">
        <f t="shared" si="13"/>
        <v>30 Jul 2019 23:00</v>
      </c>
      <c r="AO9" t="str">
        <f t="shared" si="13"/>
        <v>30 Jul 2019 23:00</v>
      </c>
      <c r="AP9" t="str">
        <f t="shared" si="13"/>
        <v>30 Jul 2019 23:00</v>
      </c>
      <c r="AQ9" t="str">
        <f>"02 Aug 2019 09:30"</f>
        <v>02 Aug 2019 09:30</v>
      </c>
      <c r="AR9" t="str">
        <f t="shared" si="4"/>
        <v>Y</v>
      </c>
      <c r="AS9" t="str">
        <f t="shared" si="4"/>
        <v>Y</v>
      </c>
      <c r="AT9" t="str">
        <f t="shared" si="4"/>
        <v>Y</v>
      </c>
      <c r="AU9" t="str">
        <f t="shared" si="5"/>
        <v>N</v>
      </c>
      <c r="AV9" t="str">
        <f t="shared" si="5"/>
        <v>N</v>
      </c>
      <c r="AW9" t="str">
        <f>""</f>
        <v/>
      </c>
      <c r="AX9" t="str">
        <f t="shared" si="6"/>
        <v>No</v>
      </c>
      <c r="AY9" t="str">
        <f>""</f>
        <v/>
      </c>
      <c r="AZ9" t="s">
        <v>12</v>
      </c>
      <c r="BA9" t="s">
        <v>110</v>
      </c>
      <c r="BB9" t="s">
        <v>110</v>
      </c>
    </row>
    <row r="10" spans="1:54">
      <c r="A10" s="7" t="str">
        <f t="shared" si="7"/>
        <v>KCM2APT0BY3CN1NC</v>
      </c>
      <c r="B10" s="8">
        <f t="shared" si="8"/>
        <v>43674.958333333336</v>
      </c>
      <c r="C10" t="str">
        <f>"KCM2"</f>
        <v>KCM2</v>
      </c>
      <c r="D10" t="str">
        <f>"APT"</f>
        <v>APT</v>
      </c>
      <c r="E10" t="str">
        <f>"APL ATLANTA"</f>
        <v>APL ATLANTA</v>
      </c>
      <c r="F10" t="str">
        <f>"CNC"</f>
        <v>CNC</v>
      </c>
      <c r="G10" t="str">
        <f t="shared" si="0"/>
        <v>OOCL</v>
      </c>
      <c r="H10" t="str">
        <f>""</f>
        <v/>
      </c>
      <c r="I10" t="str">
        <f>"032"</f>
        <v>032</v>
      </c>
      <c r="J10" t="str">
        <f>"N"</f>
        <v>N</v>
      </c>
      <c r="K10" t="str">
        <f>"4"</f>
        <v>4</v>
      </c>
      <c r="L10" t="str">
        <f t="shared" si="11"/>
        <v>HKG02</v>
      </c>
      <c r="M10" t="str">
        <f t="shared" si="12"/>
        <v>HIT - Hongkong International Terminals</v>
      </c>
      <c r="N10" t="str">
        <f t="shared" si="1"/>
        <v>HKG</v>
      </c>
      <c r="O10" t="str">
        <f t="shared" si="2"/>
        <v>1</v>
      </c>
      <c r="P10" t="str">
        <f>"3EDF7"</f>
        <v>3EDF7</v>
      </c>
      <c r="Q10" t="str">
        <f>"0BY3CN1NC"</f>
        <v>0BY3CN1NC</v>
      </c>
      <c r="R10" t="str">
        <f>"0BY3CN1NC"</f>
        <v>0BY3CN1NC</v>
      </c>
      <c r="S10" t="str">
        <f>""</f>
        <v/>
      </c>
      <c r="T10" t="str">
        <f>"29 Jul 2019 18:00"</f>
        <v>29 Jul 2019 18:00</v>
      </c>
      <c r="U10" t="str">
        <f>"30 Jul 2019 06:00"</f>
        <v>30 Jul 2019 06:00</v>
      </c>
      <c r="V10" t="str">
        <f>"12h"</f>
        <v>12h</v>
      </c>
      <c r="W10" t="str">
        <f>"30 Jul 2019 15:30"</f>
        <v>30 Jul 2019 15:30</v>
      </c>
      <c r="X10" t="str">
        <f>"30 Jul 2019 16:58"</f>
        <v>30 Jul 2019 16:58</v>
      </c>
      <c r="Y10" t="str">
        <f>"31 Jul 2019 03:30"</f>
        <v>31 Jul 2019 03:30</v>
      </c>
      <c r="Z10" t="str">
        <f>"31 Jul 2019 04:20"</f>
        <v>31 Jul 2019 04:20</v>
      </c>
      <c r="AA10" t="str">
        <f>"11h 22m"</f>
        <v>11h 22m</v>
      </c>
      <c r="AB10" t="str">
        <f t="shared" si="3"/>
        <v>NN</v>
      </c>
      <c r="AC10" t="str">
        <f>"AA"</f>
        <v>AA</v>
      </c>
      <c r="AD10" t="str">
        <f>"23"</f>
        <v>23</v>
      </c>
      <c r="AE10" t="str">
        <f>"22"</f>
        <v>22</v>
      </c>
      <c r="AF10" t="str">
        <f>"31 Jul 2019 15:30"</f>
        <v>31 Jul 2019 15:30</v>
      </c>
      <c r="AG10" t="str">
        <f>"31 Jul 2019 15:30"</f>
        <v>31 Jul 2019 15:30</v>
      </c>
      <c r="AH10" t="str">
        <f>"31 Jul 2019 15:30"</f>
        <v>31 Jul 2019 15:30</v>
      </c>
      <c r="AI10" t="str">
        <f>"31 Jul 2019 15:30"</f>
        <v>31 Jul 2019 15:30</v>
      </c>
      <c r="AJ10" t="str">
        <f>"31 Jul 2019 15:30"</f>
        <v>31 Jul 2019 15:30</v>
      </c>
      <c r="AK10" t="str">
        <f t="shared" ref="AK10:AP10" si="14">"28 Jul 2019 23:00"</f>
        <v>28 Jul 2019 23:00</v>
      </c>
      <c r="AL10" t="str">
        <f t="shared" si="14"/>
        <v>28 Jul 2019 23:00</v>
      </c>
      <c r="AM10" t="str">
        <f t="shared" si="14"/>
        <v>28 Jul 2019 23:00</v>
      </c>
      <c r="AN10" t="str">
        <f t="shared" si="14"/>
        <v>28 Jul 2019 23:00</v>
      </c>
      <c r="AO10" t="str">
        <f t="shared" si="14"/>
        <v>28 Jul 2019 23:00</v>
      </c>
      <c r="AP10" t="str">
        <f t="shared" si="14"/>
        <v>28 Jul 2019 23:00</v>
      </c>
      <c r="AQ10" t="str">
        <f>"31 Jul 2019 04:20"</f>
        <v>31 Jul 2019 04:20</v>
      </c>
      <c r="AR10" t="str">
        <f t="shared" si="4"/>
        <v>Y</v>
      </c>
      <c r="AS10" t="str">
        <f t="shared" si="4"/>
        <v>Y</v>
      </c>
      <c r="AT10" t="str">
        <f t="shared" si="4"/>
        <v>Y</v>
      </c>
      <c r="AU10" t="str">
        <f t="shared" si="5"/>
        <v>N</v>
      </c>
      <c r="AV10" t="str">
        <f t="shared" si="5"/>
        <v>N</v>
      </c>
      <c r="AW10" t="str">
        <f>""</f>
        <v/>
      </c>
      <c r="AX10" t="str">
        <f t="shared" si="6"/>
        <v>No</v>
      </c>
      <c r="AY10" t="str">
        <f>""</f>
        <v/>
      </c>
      <c r="AZ10" t="s">
        <v>12</v>
      </c>
      <c r="BA10" t="s">
        <v>110</v>
      </c>
      <c r="BB10" t="s">
        <v>110</v>
      </c>
    </row>
    <row r="11" spans="1:54">
      <c r="A11" s="7" t="str">
        <f t="shared" si="7"/>
        <v>KTX1BXS005S</v>
      </c>
      <c r="B11" s="8">
        <f t="shared" si="8"/>
        <v>43678.875</v>
      </c>
      <c r="C11" t="str">
        <f>"KTX1"</f>
        <v>KTX1</v>
      </c>
      <c r="D11" t="str">
        <f>"BXS"</f>
        <v>BXS</v>
      </c>
      <c r="E11" t="str">
        <f>"BUXHANSA"</f>
        <v>BUXHANSA</v>
      </c>
      <c r="F11" t="str">
        <f t="shared" ref="F11:F16" si="15">"OOCL"</f>
        <v>OOCL</v>
      </c>
      <c r="G11" t="str">
        <f t="shared" si="0"/>
        <v>OOCL</v>
      </c>
      <c r="H11" t="str">
        <f>""</f>
        <v/>
      </c>
      <c r="I11" t="str">
        <f>"005"</f>
        <v>005</v>
      </c>
      <c r="J11" t="str">
        <f>"S"</f>
        <v>S</v>
      </c>
      <c r="K11" t="str">
        <f>"8"</f>
        <v>8</v>
      </c>
      <c r="L11" t="str">
        <f t="shared" si="11"/>
        <v>HKG02</v>
      </c>
      <c r="M11" t="str">
        <f t="shared" si="12"/>
        <v>HIT - Hongkong International Terminals</v>
      </c>
      <c r="N11" t="str">
        <f t="shared" si="1"/>
        <v>HKG</v>
      </c>
      <c r="O11" t="str">
        <f t="shared" si="2"/>
        <v>1</v>
      </c>
      <c r="P11" t="str">
        <f>"A8TQ5"</f>
        <v>A8TQ5</v>
      </c>
      <c r="Q11" t="str">
        <f>"005S"</f>
        <v>005S</v>
      </c>
      <c r="R11" t="str">
        <f>"005S"</f>
        <v>005S</v>
      </c>
      <c r="S11" t="str">
        <f>""</f>
        <v/>
      </c>
      <c r="T11" t="str">
        <f>"02 Aug 2019 11:00"</f>
        <v>02 Aug 2019 11:00</v>
      </c>
      <c r="U11" t="str">
        <f>"03 Aug 2019 00:00"</f>
        <v>03 Aug 2019 00:00</v>
      </c>
      <c r="V11" t="str">
        <f>"13h"</f>
        <v>13h</v>
      </c>
      <c r="W11" t="str">
        <f>"02 Aug 2019 11:00"</f>
        <v>02 Aug 2019 11:00</v>
      </c>
      <c r="X11" t="str">
        <f>""</f>
        <v/>
      </c>
      <c r="Y11" t="str">
        <f>"03 Aug 2019 00:00"</f>
        <v>03 Aug 2019 00:00</v>
      </c>
      <c r="Z11" t="str">
        <f>""</f>
        <v/>
      </c>
      <c r="AA11" t="str">
        <f>""</f>
        <v/>
      </c>
      <c r="AB11" t="str">
        <f t="shared" si="3"/>
        <v>NN</v>
      </c>
      <c r="AC11" t="str">
        <f>"LL"</f>
        <v>LL</v>
      </c>
      <c r="AD11" t="str">
        <f>"0"</f>
        <v>0</v>
      </c>
      <c r="AE11" t="str">
        <f>"0"</f>
        <v>0</v>
      </c>
      <c r="AF11" t="str">
        <f>"03 Aug 2019 01:00"</f>
        <v>03 Aug 2019 01:00</v>
      </c>
      <c r="AG11" t="str">
        <f>"03 Aug 2019 01:00"</f>
        <v>03 Aug 2019 01:00</v>
      </c>
      <c r="AH11" t="str">
        <f>"03 Aug 2019 01:00"</f>
        <v>03 Aug 2019 01:00</v>
      </c>
      <c r="AI11" t="str">
        <f>"03 Aug 2019 01:00"</f>
        <v>03 Aug 2019 01:00</v>
      </c>
      <c r="AJ11" t="str">
        <f>"03 Aug 2019 01:00"</f>
        <v>03 Aug 2019 01:00</v>
      </c>
      <c r="AK11" t="str">
        <f>"02 Aug 2019 12:00"</f>
        <v>02 Aug 2019 12:00</v>
      </c>
      <c r="AL11" t="str">
        <f>"02 Aug 2019 12:00"</f>
        <v>02 Aug 2019 12:00</v>
      </c>
      <c r="AM11" t="str">
        <f>"02 Aug 2019 12:00"</f>
        <v>02 Aug 2019 12:00</v>
      </c>
      <c r="AN11" t="str">
        <f>"02 Aug 2019 12:00"</f>
        <v>02 Aug 2019 12:00</v>
      </c>
      <c r="AO11" t="str">
        <f>"02 Aug 2019 12:00"</f>
        <v>02 Aug 2019 12:00</v>
      </c>
      <c r="AP11" t="str">
        <f>"01 Aug 2019 21:00"</f>
        <v>01 Aug 2019 21:00</v>
      </c>
      <c r="AQ11" t="str">
        <f>"03 Aug 2019 01:00"</f>
        <v>03 Aug 2019 01:00</v>
      </c>
      <c r="AR11" t="str">
        <f t="shared" si="4"/>
        <v>Y</v>
      </c>
      <c r="AS11" t="str">
        <f t="shared" si="4"/>
        <v>Y</v>
      </c>
      <c r="AT11" t="str">
        <f t="shared" si="4"/>
        <v>Y</v>
      </c>
      <c r="AU11" t="str">
        <f t="shared" si="5"/>
        <v>N</v>
      </c>
      <c r="AV11" t="str">
        <f t="shared" si="5"/>
        <v>N</v>
      </c>
      <c r="AW11" t="str">
        <f>""</f>
        <v/>
      </c>
      <c r="AX11" t="str">
        <f t="shared" si="6"/>
        <v>No</v>
      </c>
      <c r="AY11" t="str">
        <f>""</f>
        <v/>
      </c>
      <c r="AZ11" t="s">
        <v>12</v>
      </c>
      <c r="BA11" t="s">
        <v>110</v>
      </c>
      <c r="BB11" t="s">
        <v>110</v>
      </c>
    </row>
    <row r="12" spans="1:54">
      <c r="A12" s="7" t="str">
        <f t="shared" si="7"/>
        <v>KTX1DSK011N</v>
      </c>
      <c r="B12" s="8">
        <f t="shared" si="8"/>
        <v>43679.125</v>
      </c>
      <c r="C12" t="str">
        <f>"KTX1"</f>
        <v>KTX1</v>
      </c>
      <c r="D12" t="str">
        <f>"DSK"</f>
        <v>DSK</v>
      </c>
      <c r="E12" t="str">
        <f>"GSL KETA"</f>
        <v>GSL KETA</v>
      </c>
      <c r="F12" t="str">
        <f t="shared" si="15"/>
        <v>OOCL</v>
      </c>
      <c r="G12" t="str">
        <f t="shared" si="0"/>
        <v>OOCL</v>
      </c>
      <c r="H12" t="str">
        <f>""</f>
        <v/>
      </c>
      <c r="I12" t="str">
        <f>"011"</f>
        <v>011</v>
      </c>
      <c r="J12" t="str">
        <f>"N"</f>
        <v>N</v>
      </c>
      <c r="K12" t="str">
        <f>"3"</f>
        <v>3</v>
      </c>
      <c r="L12" t="str">
        <f t="shared" si="11"/>
        <v>HKG02</v>
      </c>
      <c r="M12" t="str">
        <f t="shared" si="12"/>
        <v>HIT - Hongkong International Terminals</v>
      </c>
      <c r="N12" t="str">
        <f t="shared" si="1"/>
        <v>HKG</v>
      </c>
      <c r="O12" t="str">
        <f t="shared" si="2"/>
        <v>1</v>
      </c>
      <c r="P12" t="str">
        <f>"C6ZM9"</f>
        <v>C6ZM9</v>
      </c>
      <c r="Q12" t="str">
        <f>"011N"</f>
        <v>011N</v>
      </c>
      <c r="R12" t="str">
        <f>"011N"</f>
        <v>011N</v>
      </c>
      <c r="S12" t="str">
        <f>""</f>
        <v/>
      </c>
      <c r="T12" t="str">
        <f>"02 Aug 2019 17:00"</f>
        <v>02 Aug 2019 17:00</v>
      </c>
      <c r="U12" t="str">
        <f>"03 Aug 2019 06:00"</f>
        <v>03 Aug 2019 06:00</v>
      </c>
      <c r="V12" t="str">
        <f>"13h"</f>
        <v>13h</v>
      </c>
      <c r="W12" t="str">
        <f>"02 Aug 2019 17:00"</f>
        <v>02 Aug 2019 17:00</v>
      </c>
      <c r="X12" t="str">
        <f>""</f>
        <v/>
      </c>
      <c r="Y12" t="str">
        <f>"03 Aug 2019 06:00"</f>
        <v>03 Aug 2019 06:00</v>
      </c>
      <c r="Z12" t="str">
        <f>""</f>
        <v/>
      </c>
      <c r="AA12" t="str">
        <f>""</f>
        <v/>
      </c>
      <c r="AB12" t="str">
        <f t="shared" si="3"/>
        <v>NN</v>
      </c>
      <c r="AC12" t="str">
        <f>"LL"</f>
        <v>LL</v>
      </c>
      <c r="AD12" t="str">
        <f>"0"</f>
        <v>0</v>
      </c>
      <c r="AE12" t="str">
        <f>"0"</f>
        <v>0</v>
      </c>
      <c r="AF12" t="str">
        <f>"03 Aug 2019 07:00"</f>
        <v>03 Aug 2019 07:00</v>
      </c>
      <c r="AG12" t="str">
        <f>"03 Aug 2019 07:00"</f>
        <v>03 Aug 2019 07:00</v>
      </c>
      <c r="AH12" t="str">
        <f>"03 Aug 2019 07:00"</f>
        <v>03 Aug 2019 07:00</v>
      </c>
      <c r="AI12" t="str">
        <f>"03 Aug 2019 07:00"</f>
        <v>03 Aug 2019 07:00</v>
      </c>
      <c r="AJ12" t="str">
        <f>"03 Aug 2019 07:00"</f>
        <v>03 Aug 2019 07:00</v>
      </c>
      <c r="AK12" t="str">
        <f>"02 Aug 2019 20:00"</f>
        <v>02 Aug 2019 20:00</v>
      </c>
      <c r="AL12" t="str">
        <f>"02 Aug 2019 20:00"</f>
        <v>02 Aug 2019 20:00</v>
      </c>
      <c r="AM12" t="str">
        <f>"02 Aug 2019 20:00"</f>
        <v>02 Aug 2019 20:00</v>
      </c>
      <c r="AN12" t="str">
        <f>"02 Aug 2019 20:00"</f>
        <v>02 Aug 2019 20:00</v>
      </c>
      <c r="AO12" t="str">
        <f>"02 Aug 2019 20:00"</f>
        <v>02 Aug 2019 20:00</v>
      </c>
      <c r="AP12" t="str">
        <f>"02 Aug 2019 03:00"</f>
        <v>02 Aug 2019 03:00</v>
      </c>
      <c r="AQ12" t="str">
        <f>"03 Aug 2019 07:00"</f>
        <v>03 Aug 2019 07:00</v>
      </c>
      <c r="AR12" t="str">
        <f t="shared" si="4"/>
        <v>Y</v>
      </c>
      <c r="AS12" t="str">
        <f t="shared" si="4"/>
        <v>Y</v>
      </c>
      <c r="AT12" t="str">
        <f t="shared" si="4"/>
        <v>Y</v>
      </c>
      <c r="AU12" t="str">
        <f t="shared" si="5"/>
        <v>N</v>
      </c>
      <c r="AV12" t="str">
        <f t="shared" si="5"/>
        <v>N</v>
      </c>
      <c r="AW12" t="str">
        <f>""</f>
        <v/>
      </c>
      <c r="AX12" t="str">
        <f t="shared" si="6"/>
        <v>No</v>
      </c>
      <c r="AY12" t="str">
        <f>"phase in new KTX1"</f>
        <v>phase in new KTX1</v>
      </c>
      <c r="AZ12" t="s">
        <v>12</v>
      </c>
      <c r="BA12" t="s">
        <v>115</v>
      </c>
      <c r="BB12" t="s">
        <v>110</v>
      </c>
    </row>
    <row r="13" spans="1:54">
      <c r="A13" s="7" t="str">
        <f t="shared" si="7"/>
        <v>KTX2ONZ078S</v>
      </c>
      <c r="B13" s="8">
        <f t="shared" si="8"/>
        <v>43676.375</v>
      </c>
      <c r="C13" t="str">
        <f>"KTX2"</f>
        <v>KTX2</v>
      </c>
      <c r="D13" t="str">
        <f>"ONZ"</f>
        <v>ONZ</v>
      </c>
      <c r="E13" t="str">
        <f>"OOCL NEW ZEALAND"</f>
        <v>OOCL NEW ZEALAND</v>
      </c>
      <c r="F13" t="str">
        <f t="shared" si="15"/>
        <v>OOCL</v>
      </c>
      <c r="G13" t="str">
        <f t="shared" si="0"/>
        <v>OOCL</v>
      </c>
      <c r="H13" t="str">
        <f>""</f>
        <v/>
      </c>
      <c r="I13" t="str">
        <f>"078"</f>
        <v>078</v>
      </c>
      <c r="J13" t="str">
        <f>"S"</f>
        <v>S</v>
      </c>
      <c r="K13" t="str">
        <f>"6"</f>
        <v>6</v>
      </c>
      <c r="L13" t="str">
        <f t="shared" si="11"/>
        <v>HKG02</v>
      </c>
      <c r="M13" t="str">
        <f t="shared" si="12"/>
        <v>HIT - Hongkong International Terminals</v>
      </c>
      <c r="N13" t="str">
        <f t="shared" si="1"/>
        <v>HKG</v>
      </c>
      <c r="O13" t="str">
        <f t="shared" si="2"/>
        <v>1</v>
      </c>
      <c r="P13" t="str">
        <f>"VRFS2"</f>
        <v>VRFS2</v>
      </c>
      <c r="Q13" t="str">
        <f>"078S"</f>
        <v>078S</v>
      </c>
      <c r="R13" t="str">
        <f>"078S"</f>
        <v>078S</v>
      </c>
      <c r="S13" t="str">
        <f>""</f>
        <v/>
      </c>
      <c r="T13" t="str">
        <f>"30 Jul 2019 23:00"</f>
        <v>30 Jul 2019 23:00</v>
      </c>
      <c r="U13" t="str">
        <f>"31 Jul 2019 11:00"</f>
        <v>31 Jul 2019 11:00</v>
      </c>
      <c r="V13" t="str">
        <f>"12h"</f>
        <v>12h</v>
      </c>
      <c r="W13" t="str">
        <f>"31 Jul 2019 05:00"</f>
        <v>31 Jul 2019 05:00</v>
      </c>
      <c r="X13" t="str">
        <f>"31 Jul 2019 06:17"</f>
        <v>31 Jul 2019 06:17</v>
      </c>
      <c r="Y13" t="str">
        <f>"31 Jul 2019 17:30"</f>
        <v>31 Jul 2019 17:30</v>
      </c>
      <c r="Z13" t="str">
        <f>"31 Jul 2019 13:25"</f>
        <v>31 Jul 2019 13:25</v>
      </c>
      <c r="AA13" t="str">
        <f>"7h 8m"</f>
        <v>7h 8m</v>
      </c>
      <c r="AB13" t="str">
        <f t="shared" si="3"/>
        <v>NN</v>
      </c>
      <c r="AC13" t="str">
        <f>"AA"</f>
        <v>AA</v>
      </c>
      <c r="AD13" t="str">
        <f>"7"</f>
        <v>7</v>
      </c>
      <c r="AE13" t="str">
        <f>"2"</f>
        <v>2</v>
      </c>
      <c r="AF13" t="str">
        <f>"01 Aug 2019 05:00"</f>
        <v>01 Aug 2019 05:00</v>
      </c>
      <c r="AG13" t="str">
        <f>"01 Aug 2019 05:00"</f>
        <v>01 Aug 2019 05:00</v>
      </c>
      <c r="AH13" t="str">
        <f>"01 Aug 2019 05:00"</f>
        <v>01 Aug 2019 05:00</v>
      </c>
      <c r="AI13" t="str">
        <f>"01 Aug 2019 05:00"</f>
        <v>01 Aug 2019 05:00</v>
      </c>
      <c r="AJ13" t="str">
        <f>"01 Aug 2019 05:00"</f>
        <v>01 Aug 2019 05:00</v>
      </c>
      <c r="AK13" t="str">
        <f>"30 Jul 2019 23:00"</f>
        <v>30 Jul 2019 23:00</v>
      </c>
      <c r="AL13" t="str">
        <f>"30 Jul 2019 23:00"</f>
        <v>30 Jul 2019 23:00</v>
      </c>
      <c r="AM13" t="str">
        <f>"30 Jul 2019 23:00"</f>
        <v>30 Jul 2019 23:00</v>
      </c>
      <c r="AN13" t="str">
        <f>"30 Jul 2019 23:00"</f>
        <v>30 Jul 2019 23:00</v>
      </c>
      <c r="AO13" t="str">
        <f>"30 Jul 2019 23:00"</f>
        <v>30 Jul 2019 23:00</v>
      </c>
      <c r="AP13" t="str">
        <f>"30 Jul 2019 09:00"</f>
        <v>30 Jul 2019 09:00</v>
      </c>
      <c r="AQ13" t="str">
        <f>"31 Jul 2019 13:25"</f>
        <v>31 Jul 2019 13:25</v>
      </c>
      <c r="AR13" t="str">
        <f t="shared" si="4"/>
        <v>Y</v>
      </c>
      <c r="AS13" t="str">
        <f t="shared" si="4"/>
        <v>Y</v>
      </c>
      <c r="AT13" t="str">
        <f t="shared" si="4"/>
        <v>Y</v>
      </c>
      <c r="AU13" t="str">
        <f t="shared" si="5"/>
        <v>N</v>
      </c>
      <c r="AV13" t="str">
        <f t="shared" si="5"/>
        <v>N</v>
      </c>
      <c r="AW13" t="str">
        <f>""</f>
        <v/>
      </c>
      <c r="AX13" t="str">
        <f t="shared" si="6"/>
        <v>No</v>
      </c>
      <c r="AY13" t="str">
        <f>""</f>
        <v/>
      </c>
      <c r="AZ13" t="s">
        <v>12</v>
      </c>
      <c r="BA13" t="s">
        <v>110</v>
      </c>
      <c r="BB13" t="s">
        <v>110</v>
      </c>
    </row>
    <row r="14" spans="1:54">
      <c r="A14" s="7" t="str">
        <f t="shared" si="7"/>
        <v>KTX3OJK110S</v>
      </c>
      <c r="B14" s="8">
        <f t="shared" si="8"/>
        <v>43675.333333333336</v>
      </c>
      <c r="C14" t="str">
        <f>"KTX3"</f>
        <v>KTX3</v>
      </c>
      <c r="D14" t="str">
        <f>"OJK"</f>
        <v>OJK</v>
      </c>
      <c r="E14" t="str">
        <f>"OOCL JAKARTA"</f>
        <v>OOCL JAKARTA</v>
      </c>
      <c r="F14" t="str">
        <f t="shared" si="15"/>
        <v>OOCL</v>
      </c>
      <c r="G14" t="str">
        <f t="shared" si="0"/>
        <v>OOCL</v>
      </c>
      <c r="H14" t="str">
        <f>""</f>
        <v/>
      </c>
      <c r="I14" t="str">
        <f>"110"</f>
        <v>110</v>
      </c>
      <c r="J14" t="str">
        <f>"S"</f>
        <v>S</v>
      </c>
      <c r="K14" t="str">
        <f>"6"</f>
        <v>6</v>
      </c>
      <c r="L14" t="str">
        <f t="shared" si="11"/>
        <v>HKG02</v>
      </c>
      <c r="M14" t="str">
        <f t="shared" si="12"/>
        <v>HIT - Hongkong International Terminals</v>
      </c>
      <c r="N14" t="str">
        <f t="shared" si="1"/>
        <v>HKG</v>
      </c>
      <c r="O14" t="str">
        <f t="shared" si="2"/>
        <v>1</v>
      </c>
      <c r="P14" t="str">
        <f>"VRGO7"</f>
        <v>VRGO7</v>
      </c>
      <c r="Q14" t="str">
        <f>"110S"</f>
        <v>110S</v>
      </c>
      <c r="R14" t="str">
        <f>"110S"</f>
        <v>110S</v>
      </c>
      <c r="S14" t="str">
        <f>""</f>
        <v/>
      </c>
      <c r="T14" t="str">
        <f>"29 Jul 2019 23:00"</f>
        <v>29 Jul 2019 23:00</v>
      </c>
      <c r="U14" t="str">
        <f>"30 Jul 2019 09:00"</f>
        <v>30 Jul 2019 09:00</v>
      </c>
      <c r="V14" t="str">
        <f>"10h"</f>
        <v>10h</v>
      </c>
      <c r="W14" t="str">
        <f>"30 Jul 2019 17:30"</f>
        <v>30 Jul 2019 17:30</v>
      </c>
      <c r="X14" t="str">
        <f>"30 Jul 2019 17:28"</f>
        <v>30 Jul 2019 17:28</v>
      </c>
      <c r="Y14" t="str">
        <f>"31 Jul 2019 04:30"</f>
        <v>31 Jul 2019 04:30</v>
      </c>
      <c r="Z14" t="str">
        <f>"31 Jul 2019 05:11"</f>
        <v>31 Jul 2019 05:11</v>
      </c>
      <c r="AA14" t="str">
        <f>"11h 42m"</f>
        <v>11h 42m</v>
      </c>
      <c r="AB14" t="str">
        <f t="shared" si="3"/>
        <v>NN</v>
      </c>
      <c r="AC14" t="str">
        <f>"AA"</f>
        <v>AA</v>
      </c>
      <c r="AD14" t="str">
        <f>"18"</f>
        <v>18</v>
      </c>
      <c r="AE14" t="str">
        <f>"20"</f>
        <v>20</v>
      </c>
      <c r="AF14" t="str">
        <f>"31 Jul 2019 17:30"</f>
        <v>31 Jul 2019 17:30</v>
      </c>
      <c r="AG14" t="str">
        <f>"31 Jul 2019 17:30"</f>
        <v>31 Jul 2019 17:30</v>
      </c>
      <c r="AH14" t="str">
        <f>"31 Jul 2019 17:30"</f>
        <v>31 Jul 2019 17:30</v>
      </c>
      <c r="AI14" t="str">
        <f>"31 Jul 2019 17:30"</f>
        <v>31 Jul 2019 17:30</v>
      </c>
      <c r="AJ14" t="str">
        <f>"31 Jul 2019 17:30"</f>
        <v>31 Jul 2019 17:30</v>
      </c>
      <c r="AK14" t="str">
        <f>"29 Jul 2019 23:00"</f>
        <v>29 Jul 2019 23:00</v>
      </c>
      <c r="AL14" t="str">
        <f>"29 Jul 2019 23:00"</f>
        <v>29 Jul 2019 23:00</v>
      </c>
      <c r="AM14" t="str">
        <f>"29 Jul 2019 23:00"</f>
        <v>29 Jul 2019 23:00</v>
      </c>
      <c r="AN14" t="str">
        <f>"29 Jul 2019 23:00"</f>
        <v>29 Jul 2019 23:00</v>
      </c>
      <c r="AO14" t="str">
        <f>"29 Jul 2019 23:00"</f>
        <v>29 Jul 2019 23:00</v>
      </c>
      <c r="AP14" t="str">
        <f>"29 Jul 2019 08:00"</f>
        <v>29 Jul 2019 08:00</v>
      </c>
      <c r="AQ14" t="str">
        <f>"31 Jul 2019 05:11"</f>
        <v>31 Jul 2019 05:11</v>
      </c>
      <c r="AR14" t="str">
        <f t="shared" si="4"/>
        <v>Y</v>
      </c>
      <c r="AS14" t="str">
        <f t="shared" si="4"/>
        <v>Y</v>
      </c>
      <c r="AT14" t="str">
        <f t="shared" si="4"/>
        <v>Y</v>
      </c>
      <c r="AU14" t="str">
        <f t="shared" si="5"/>
        <v>N</v>
      </c>
      <c r="AV14" t="str">
        <f t="shared" si="5"/>
        <v>N</v>
      </c>
      <c r="AW14" t="str">
        <f>"Delayed : Previous Port Delayed"</f>
        <v>Delayed : Previous Port Delayed</v>
      </c>
      <c r="AX14" t="str">
        <f t="shared" si="6"/>
        <v>No</v>
      </c>
      <c r="AY14" t="str">
        <f>""</f>
        <v/>
      </c>
      <c r="AZ14" t="s">
        <v>12</v>
      </c>
      <c r="BA14" t="s">
        <v>110</v>
      </c>
      <c r="BB14" t="s">
        <v>110</v>
      </c>
    </row>
    <row r="15" spans="1:54">
      <c r="A15" s="7" t="str">
        <f t="shared" si="7"/>
        <v>KTX3OGZ112N</v>
      </c>
      <c r="B15" s="8">
        <f t="shared" si="8"/>
        <v>43676.833333333336</v>
      </c>
      <c r="C15" t="str">
        <f>"KTX3"</f>
        <v>KTX3</v>
      </c>
      <c r="D15" t="str">
        <f>"OGZ"</f>
        <v>OGZ</v>
      </c>
      <c r="E15" t="str">
        <f>"OOCL GUANGZHOU"</f>
        <v>OOCL GUANGZHOU</v>
      </c>
      <c r="F15" t="str">
        <f t="shared" si="15"/>
        <v>OOCL</v>
      </c>
      <c r="G15" t="str">
        <f t="shared" si="0"/>
        <v>OOCL</v>
      </c>
      <c r="H15" t="str">
        <f>""</f>
        <v/>
      </c>
      <c r="I15" t="str">
        <f>"112"</f>
        <v>112</v>
      </c>
      <c r="J15" t="str">
        <f>"N"</f>
        <v>N</v>
      </c>
      <c r="K15" t="str">
        <f>"4"</f>
        <v>4</v>
      </c>
      <c r="L15" t="str">
        <f t="shared" si="11"/>
        <v>HKG02</v>
      </c>
      <c r="M15" t="str">
        <f t="shared" si="12"/>
        <v>HIT - Hongkong International Terminals</v>
      </c>
      <c r="N15" t="str">
        <f t="shared" si="1"/>
        <v>HKG</v>
      </c>
      <c r="O15" t="str">
        <f t="shared" si="2"/>
        <v>1</v>
      </c>
      <c r="P15" t="str">
        <f>"VRGO6"</f>
        <v>VRGO6</v>
      </c>
      <c r="Q15" t="str">
        <f>"112N"</f>
        <v>112N</v>
      </c>
      <c r="R15" t="str">
        <f>"112N"</f>
        <v>112N</v>
      </c>
      <c r="S15" t="str">
        <f>""</f>
        <v/>
      </c>
      <c r="T15" t="str">
        <f>"31 Jul 2019 10:00"</f>
        <v>31 Jul 2019 10:00</v>
      </c>
      <c r="U15" t="str">
        <f>"01 Aug 2019 00:00"</f>
        <v>01 Aug 2019 00:00</v>
      </c>
      <c r="V15" t="str">
        <f>"14h"</f>
        <v>14h</v>
      </c>
      <c r="W15" t="str">
        <f>"01 Aug 2019 17:00"</f>
        <v>01 Aug 2019 17:00</v>
      </c>
      <c r="X15" t="str">
        <f>""</f>
        <v/>
      </c>
      <c r="Y15" t="str">
        <f>"02 Aug 2019 03:00"</f>
        <v>02 Aug 2019 03:00</v>
      </c>
      <c r="Z15" t="str">
        <f>""</f>
        <v/>
      </c>
      <c r="AA15" t="str">
        <f>""</f>
        <v/>
      </c>
      <c r="AB15" t="str">
        <f t="shared" si="3"/>
        <v>NN</v>
      </c>
      <c r="AC15" t="str">
        <f>"CC"</f>
        <v>CC</v>
      </c>
      <c r="AD15" t="str">
        <f>"31"</f>
        <v>31</v>
      </c>
      <c r="AE15" t="str">
        <f>"27"</f>
        <v>27</v>
      </c>
      <c r="AF15" t="str">
        <f>"02 Aug 2019 17:00"</f>
        <v>02 Aug 2019 17:00</v>
      </c>
      <c r="AG15" t="str">
        <f>"02 Aug 2019 17:00"</f>
        <v>02 Aug 2019 17:00</v>
      </c>
      <c r="AH15" t="str">
        <f>"02 Aug 2019 17:00"</f>
        <v>02 Aug 2019 17:00</v>
      </c>
      <c r="AI15" t="str">
        <f>"02 Aug 2019 17:00"</f>
        <v>02 Aug 2019 17:00</v>
      </c>
      <c r="AJ15" t="str">
        <f>"02 Aug 2019 17:00"</f>
        <v>02 Aug 2019 17:00</v>
      </c>
      <c r="AK15" t="str">
        <f>"31 Jul 2019 19:00"</f>
        <v>31 Jul 2019 19:00</v>
      </c>
      <c r="AL15" t="str">
        <f>"31 Jul 2019 19:00"</f>
        <v>31 Jul 2019 19:00</v>
      </c>
      <c r="AM15" t="str">
        <f>"31 Jul 2019 19:00"</f>
        <v>31 Jul 2019 19:00</v>
      </c>
      <c r="AN15" t="str">
        <f>"31 Jul 2019 19:00"</f>
        <v>31 Jul 2019 19:00</v>
      </c>
      <c r="AO15" t="str">
        <f>"31 Jul 2019 19:00"</f>
        <v>31 Jul 2019 19:00</v>
      </c>
      <c r="AP15" t="str">
        <f>"30 Jul 2019 20:00"</f>
        <v>30 Jul 2019 20:00</v>
      </c>
      <c r="AQ15" t="str">
        <f>"02 Aug 2019 03:00"</f>
        <v>02 Aug 2019 03:00</v>
      </c>
      <c r="AR15" t="str">
        <f t="shared" si="4"/>
        <v>Y</v>
      </c>
      <c r="AS15" t="str">
        <f t="shared" si="4"/>
        <v>Y</v>
      </c>
      <c r="AT15" t="str">
        <f t="shared" si="4"/>
        <v>Y</v>
      </c>
      <c r="AU15" t="str">
        <f t="shared" si="5"/>
        <v>N</v>
      </c>
      <c r="AV15" t="str">
        <f t="shared" si="5"/>
        <v>N</v>
      </c>
      <c r="AW15" t="str">
        <f>""</f>
        <v/>
      </c>
      <c r="AX15" t="str">
        <f t="shared" si="6"/>
        <v>No</v>
      </c>
      <c r="AY15" t="str">
        <f>""</f>
        <v/>
      </c>
      <c r="AZ15" t="s">
        <v>12</v>
      </c>
      <c r="BA15" t="s">
        <v>110</v>
      </c>
      <c r="BB15" t="s">
        <v>116</v>
      </c>
    </row>
    <row r="16" spans="1:54">
      <c r="A16" s="7" t="str">
        <f t="shared" si="7"/>
        <v>KTX6ODA637S</v>
      </c>
      <c r="B16" s="8">
        <f t="shared" si="8"/>
        <v>43677.916666666664</v>
      </c>
      <c r="C16" t="str">
        <f>"KTX6"</f>
        <v>KTX6</v>
      </c>
      <c r="D16" t="str">
        <f>"ODA"</f>
        <v>ODA</v>
      </c>
      <c r="E16" t="str">
        <f>"OOCL DALIAN"</f>
        <v>OOCL DALIAN</v>
      </c>
      <c r="F16" t="str">
        <f t="shared" si="15"/>
        <v>OOCL</v>
      </c>
      <c r="G16" t="str">
        <f t="shared" si="0"/>
        <v>OOCL</v>
      </c>
      <c r="H16" t="str">
        <f>""</f>
        <v/>
      </c>
      <c r="I16" t="str">
        <f>"637"</f>
        <v>637</v>
      </c>
      <c r="J16" t="str">
        <f>"S"</f>
        <v>S</v>
      </c>
      <c r="K16" t="str">
        <f>"6"</f>
        <v>6</v>
      </c>
      <c r="L16" t="str">
        <f t="shared" si="11"/>
        <v>HKG02</v>
      </c>
      <c r="M16" t="str">
        <f t="shared" si="12"/>
        <v>HIT - Hongkong International Terminals</v>
      </c>
      <c r="N16" t="str">
        <f t="shared" si="1"/>
        <v>HKG</v>
      </c>
      <c r="O16" t="str">
        <f t="shared" si="2"/>
        <v>1</v>
      </c>
      <c r="P16" t="str">
        <f>"VRFW9"</f>
        <v>VRFW9</v>
      </c>
      <c r="Q16" t="str">
        <f>"637S"</f>
        <v>637S</v>
      </c>
      <c r="R16" t="str">
        <f>"637S"</f>
        <v>637S</v>
      </c>
      <c r="S16" t="str">
        <f>""</f>
        <v/>
      </c>
      <c r="T16" t="str">
        <f>"01 Aug 2019 12:00"</f>
        <v>01 Aug 2019 12:00</v>
      </c>
      <c r="U16" t="str">
        <f>"02 Aug 2019 08:00"</f>
        <v>02 Aug 2019 08:00</v>
      </c>
      <c r="V16" t="str">
        <f>"20h"</f>
        <v>20h</v>
      </c>
      <c r="W16" t="str">
        <f>"01 Aug 2019 12:00"</f>
        <v>01 Aug 2019 12:00</v>
      </c>
      <c r="X16" t="str">
        <f>""</f>
        <v/>
      </c>
      <c r="Y16" t="str">
        <f>"02 Aug 2019 08:00"</f>
        <v>02 Aug 2019 08:00</v>
      </c>
      <c r="Z16" t="str">
        <f>""</f>
        <v/>
      </c>
      <c r="AA16" t="str">
        <f>""</f>
        <v/>
      </c>
      <c r="AB16" t="str">
        <f t="shared" si="3"/>
        <v>NN</v>
      </c>
      <c r="AC16" t="str">
        <f>"LL"</f>
        <v>LL</v>
      </c>
      <c r="AD16" t="str">
        <f>"0"</f>
        <v>0</v>
      </c>
      <c r="AE16" t="str">
        <f>"0"</f>
        <v>0</v>
      </c>
      <c r="AF16" t="str">
        <f>"02 Aug 2019 09:00"</f>
        <v>02 Aug 2019 09:00</v>
      </c>
      <c r="AG16" t="str">
        <f>"02 Aug 2019 09:00"</f>
        <v>02 Aug 2019 09:00</v>
      </c>
      <c r="AH16" t="str">
        <f>"02 Aug 2019 09:00"</f>
        <v>02 Aug 2019 09:00</v>
      </c>
      <c r="AI16" t="str">
        <f>"02 Aug 2019 09:00"</f>
        <v>02 Aug 2019 09:00</v>
      </c>
      <c r="AJ16" t="str">
        <f>"02 Aug 2019 09:00"</f>
        <v>02 Aug 2019 09:00</v>
      </c>
      <c r="AK16" t="str">
        <f t="shared" ref="AK16:AO17" si="16">"31 Jul 2019 23:00"</f>
        <v>31 Jul 2019 23:00</v>
      </c>
      <c r="AL16" t="str">
        <f t="shared" si="16"/>
        <v>31 Jul 2019 23:00</v>
      </c>
      <c r="AM16" t="str">
        <f t="shared" si="16"/>
        <v>31 Jul 2019 23:00</v>
      </c>
      <c r="AN16" t="str">
        <f t="shared" si="16"/>
        <v>31 Jul 2019 23:00</v>
      </c>
      <c r="AO16" t="str">
        <f t="shared" si="16"/>
        <v>31 Jul 2019 23:00</v>
      </c>
      <c r="AP16" t="str">
        <f>"31 Jul 2019 22:00"</f>
        <v>31 Jul 2019 22:00</v>
      </c>
      <c r="AQ16" t="str">
        <f>"02 Aug 2019 09:00"</f>
        <v>02 Aug 2019 09:00</v>
      </c>
      <c r="AR16" t="str">
        <f t="shared" si="4"/>
        <v>Y</v>
      </c>
      <c r="AS16" t="str">
        <f t="shared" si="4"/>
        <v>Y</v>
      </c>
      <c r="AT16" t="str">
        <f t="shared" si="4"/>
        <v>Y</v>
      </c>
      <c r="AU16" t="str">
        <f t="shared" si="5"/>
        <v>N</v>
      </c>
      <c r="AV16" t="str">
        <f t="shared" si="5"/>
        <v>N</v>
      </c>
      <c r="AW16" t="str">
        <f>""</f>
        <v/>
      </c>
      <c r="AX16" t="str">
        <f t="shared" si="6"/>
        <v>No</v>
      </c>
      <c r="AY16" t="str">
        <f>""</f>
        <v/>
      </c>
      <c r="AZ16" t="s">
        <v>12</v>
      </c>
      <c r="BA16" t="s">
        <v>110</v>
      </c>
      <c r="BB16" t="s">
        <v>110</v>
      </c>
    </row>
    <row r="17" spans="1:54">
      <c r="A17" s="7" t="str">
        <f t="shared" si="7"/>
        <v>KTX6IHTN005</v>
      </c>
      <c r="B17" s="8">
        <f t="shared" si="8"/>
        <v>43677.541666666664</v>
      </c>
      <c r="C17" t="str">
        <f>"KTX6"</f>
        <v>KTX6</v>
      </c>
      <c r="D17" t="str">
        <f>"IHT"</f>
        <v>IHT</v>
      </c>
      <c r="E17" t="str">
        <f>"INTERASIA HERITAGE"</f>
        <v>INTERASIA HERITAGE</v>
      </c>
      <c r="F17" t="str">
        <f>"IAL"</f>
        <v>IAL</v>
      </c>
      <c r="G17" t="str">
        <f t="shared" si="0"/>
        <v>OOCL</v>
      </c>
      <c r="H17" t="str">
        <f>""</f>
        <v/>
      </c>
      <c r="I17" t="str">
        <f>"005"</f>
        <v>005</v>
      </c>
      <c r="J17" t="str">
        <f>"N"</f>
        <v>N</v>
      </c>
      <c r="K17" t="str">
        <f>"6"</f>
        <v>6</v>
      </c>
      <c r="L17" t="str">
        <f t="shared" si="11"/>
        <v>HKG02</v>
      </c>
      <c r="M17" t="str">
        <f t="shared" si="12"/>
        <v>HIT - Hongkong International Terminals</v>
      </c>
      <c r="N17" t="str">
        <f t="shared" si="1"/>
        <v>HKG</v>
      </c>
      <c r="O17" t="str">
        <f t="shared" si="2"/>
        <v>1</v>
      </c>
      <c r="P17" t="str">
        <f>"S6AS8"</f>
        <v>S6AS8</v>
      </c>
      <c r="Q17" t="str">
        <f>"N005"</f>
        <v>N005</v>
      </c>
      <c r="R17" t="str">
        <f>"N005"</f>
        <v>N005</v>
      </c>
      <c r="S17" t="str">
        <f>""</f>
        <v/>
      </c>
      <c r="T17" t="str">
        <f>"01 Aug 2019 03:00"</f>
        <v>01 Aug 2019 03:00</v>
      </c>
      <c r="U17" t="str">
        <f>"01 Aug 2019 20:00"</f>
        <v>01 Aug 2019 20:00</v>
      </c>
      <c r="V17" t="str">
        <f>"17h"</f>
        <v>17h</v>
      </c>
      <c r="W17" t="str">
        <f>"02 Aug 2019 08:00"</f>
        <v>02 Aug 2019 08:00</v>
      </c>
      <c r="X17" t="str">
        <f>""</f>
        <v/>
      </c>
      <c r="Y17" t="str">
        <f>"03 Aug 2019 01:00"</f>
        <v>03 Aug 2019 01:00</v>
      </c>
      <c r="Z17" t="str">
        <f>""</f>
        <v/>
      </c>
      <c r="AA17" t="str">
        <f>""</f>
        <v/>
      </c>
      <c r="AB17" t="str">
        <f t="shared" si="3"/>
        <v>NN</v>
      </c>
      <c r="AC17" t="str">
        <f>"CC"</f>
        <v>CC</v>
      </c>
      <c r="AD17" t="str">
        <f>"29"</f>
        <v>29</v>
      </c>
      <c r="AE17" t="str">
        <f>"29"</f>
        <v>29</v>
      </c>
      <c r="AF17" t="str">
        <f t="shared" ref="AF17:AJ18" si="17">"03 Aug 2019 08:00"</f>
        <v>03 Aug 2019 08:00</v>
      </c>
      <c r="AG17" t="str">
        <f t="shared" si="17"/>
        <v>03 Aug 2019 08:00</v>
      </c>
      <c r="AH17" t="str">
        <f t="shared" si="17"/>
        <v>03 Aug 2019 08:00</v>
      </c>
      <c r="AI17" t="str">
        <f t="shared" si="17"/>
        <v>03 Aug 2019 08:00</v>
      </c>
      <c r="AJ17" t="str">
        <f t="shared" si="17"/>
        <v>03 Aug 2019 08:00</v>
      </c>
      <c r="AK17" t="str">
        <f t="shared" si="16"/>
        <v>31 Jul 2019 23:00</v>
      </c>
      <c r="AL17" t="str">
        <f t="shared" si="16"/>
        <v>31 Jul 2019 23:00</v>
      </c>
      <c r="AM17" t="str">
        <f t="shared" si="16"/>
        <v>31 Jul 2019 23:00</v>
      </c>
      <c r="AN17" t="str">
        <f t="shared" si="16"/>
        <v>31 Jul 2019 23:00</v>
      </c>
      <c r="AO17" t="str">
        <f t="shared" si="16"/>
        <v>31 Jul 2019 23:00</v>
      </c>
      <c r="AP17" t="str">
        <f>"31 Jul 2019 13:00"</f>
        <v>31 Jul 2019 13:00</v>
      </c>
      <c r="AQ17" t="str">
        <f>"03 Aug 2019 01:00"</f>
        <v>03 Aug 2019 01:00</v>
      </c>
      <c r="AR17" t="str">
        <f t="shared" si="4"/>
        <v>Y</v>
      </c>
      <c r="AS17" t="str">
        <f t="shared" si="4"/>
        <v>Y</v>
      </c>
      <c r="AT17" t="str">
        <f t="shared" si="4"/>
        <v>Y</v>
      </c>
      <c r="AU17" t="str">
        <f t="shared" si="5"/>
        <v>N</v>
      </c>
      <c r="AV17" t="str">
        <f t="shared" si="5"/>
        <v>N</v>
      </c>
      <c r="AW17" t="str">
        <f>"Delayed : Previous Port Delayed"</f>
        <v>Delayed : Previous Port Delayed</v>
      </c>
      <c r="AX17" t="str">
        <f t="shared" si="6"/>
        <v>No</v>
      </c>
      <c r="AY17" t="str">
        <f>""</f>
        <v/>
      </c>
      <c r="AZ17" t="s">
        <v>12</v>
      </c>
      <c r="BA17" t="s">
        <v>110</v>
      </c>
      <c r="BB17" t="s">
        <v>117</v>
      </c>
    </row>
    <row r="18" spans="1:54">
      <c r="A18" s="7" t="str">
        <f t="shared" si="7"/>
        <v>ME3CUN0NM2XW1PL</v>
      </c>
      <c r="B18" s="8">
        <f t="shared" si="8"/>
        <v>43678.708333333336</v>
      </c>
      <c r="C18" t="str">
        <f>"ME3"</f>
        <v>ME3</v>
      </c>
      <c r="D18" t="str">
        <f>"CUN"</f>
        <v>CUN</v>
      </c>
      <c r="E18" t="str">
        <f>"CSCL SATURN"</f>
        <v>CSCL SATURN</v>
      </c>
      <c r="F18" t="str">
        <f>"APL"</f>
        <v>APL</v>
      </c>
      <c r="G18" t="str">
        <f t="shared" si="0"/>
        <v>OOCL</v>
      </c>
      <c r="H18" t="str">
        <f>"MEA3"</f>
        <v>MEA3</v>
      </c>
      <c r="I18" t="str">
        <f>"393"</f>
        <v>393</v>
      </c>
      <c r="J18" t="str">
        <f>"W"</f>
        <v>W</v>
      </c>
      <c r="K18" t="str">
        <f>"5"</f>
        <v>5</v>
      </c>
      <c r="L18" t="str">
        <f t="shared" si="11"/>
        <v>HKG02</v>
      </c>
      <c r="M18" t="str">
        <f t="shared" si="12"/>
        <v>HIT - Hongkong International Terminals</v>
      </c>
      <c r="N18" t="str">
        <f t="shared" si="1"/>
        <v>HKG</v>
      </c>
      <c r="O18" t="str">
        <f t="shared" si="2"/>
        <v>1</v>
      </c>
      <c r="P18" t="str">
        <f>"VRJS5"</f>
        <v>VRJS5</v>
      </c>
      <c r="Q18" t="str">
        <f>"0NM2XW1PL"</f>
        <v>0NM2XW1PL</v>
      </c>
      <c r="R18" t="str">
        <f>"0NM2XW1PL"</f>
        <v>0NM2XW1PL</v>
      </c>
      <c r="S18" t="str">
        <f>""</f>
        <v/>
      </c>
      <c r="T18" t="str">
        <f>"02 Aug 2019 08:00"</f>
        <v>02 Aug 2019 08:00</v>
      </c>
      <c r="U18" t="str">
        <f>"03 Aug 2019 02:00"</f>
        <v>03 Aug 2019 02:00</v>
      </c>
      <c r="V18" t="str">
        <f>"18h"</f>
        <v>18h</v>
      </c>
      <c r="W18" t="str">
        <f>"02 Aug 2019 08:00"</f>
        <v>02 Aug 2019 08:00</v>
      </c>
      <c r="X18" t="str">
        <f>""</f>
        <v/>
      </c>
      <c r="Y18" t="str">
        <f>"03 Aug 2019 02:00"</f>
        <v>03 Aug 2019 02:00</v>
      </c>
      <c r="Z18" t="str">
        <f>""</f>
        <v/>
      </c>
      <c r="AA18" t="str">
        <f>""</f>
        <v/>
      </c>
      <c r="AB18" t="str">
        <f t="shared" si="3"/>
        <v>NN</v>
      </c>
      <c r="AC18" t="str">
        <f>"LL"</f>
        <v>LL</v>
      </c>
      <c r="AD18" t="str">
        <f>"0"</f>
        <v>0</v>
      </c>
      <c r="AE18" t="str">
        <f>"0"</f>
        <v>0</v>
      </c>
      <c r="AF18" t="str">
        <f t="shared" si="17"/>
        <v>03 Aug 2019 08:00</v>
      </c>
      <c r="AG18" t="str">
        <f t="shared" si="17"/>
        <v>03 Aug 2019 08:00</v>
      </c>
      <c r="AH18" t="str">
        <f t="shared" si="17"/>
        <v>03 Aug 2019 08:00</v>
      </c>
      <c r="AI18" t="str">
        <f t="shared" si="17"/>
        <v>03 Aug 2019 08:00</v>
      </c>
      <c r="AJ18" t="str">
        <f t="shared" si="17"/>
        <v>03 Aug 2019 08:00</v>
      </c>
      <c r="AK18" t="str">
        <f t="shared" ref="AK18:AP18" si="18">"01 Aug 2019 17:00"</f>
        <v>01 Aug 2019 17:00</v>
      </c>
      <c r="AL18" t="str">
        <f t="shared" si="18"/>
        <v>01 Aug 2019 17:00</v>
      </c>
      <c r="AM18" t="str">
        <f t="shared" si="18"/>
        <v>01 Aug 2019 17:00</v>
      </c>
      <c r="AN18" t="str">
        <f t="shared" si="18"/>
        <v>01 Aug 2019 17:00</v>
      </c>
      <c r="AO18" t="str">
        <f t="shared" si="18"/>
        <v>01 Aug 2019 17:00</v>
      </c>
      <c r="AP18" t="str">
        <f t="shared" si="18"/>
        <v>01 Aug 2019 17:00</v>
      </c>
      <c r="AQ18" t="str">
        <f>"03 Aug 2019 08:00"</f>
        <v>03 Aug 2019 08:00</v>
      </c>
      <c r="AR18" t="str">
        <f t="shared" ref="AR18:AT37" si="19">"Y"</f>
        <v>Y</v>
      </c>
      <c r="AS18" t="str">
        <f t="shared" si="19"/>
        <v>Y</v>
      </c>
      <c r="AT18" t="str">
        <f t="shared" si="19"/>
        <v>Y</v>
      </c>
      <c r="AU18" t="str">
        <f t="shared" si="5"/>
        <v>N</v>
      </c>
      <c r="AV18" t="str">
        <f t="shared" si="5"/>
        <v>N</v>
      </c>
      <c r="AW18" t="str">
        <f>""</f>
        <v/>
      </c>
      <c r="AX18" t="str">
        <f t="shared" si="6"/>
        <v>No</v>
      </c>
      <c r="AY18" t="str">
        <f>""</f>
        <v/>
      </c>
      <c r="AZ18" t="s">
        <v>12</v>
      </c>
      <c r="BA18" t="s">
        <v>110</v>
      </c>
      <c r="BB18" t="s">
        <v>118</v>
      </c>
    </row>
    <row r="19" spans="1:54">
      <c r="A19" s="7" t="str">
        <f t="shared" si="7"/>
        <v>ME4EUS1620-180E</v>
      </c>
      <c r="B19" s="8">
        <f t="shared" si="8"/>
        <v>43677.958333333336</v>
      </c>
      <c r="C19" t="str">
        <f>"ME4"</f>
        <v>ME4</v>
      </c>
      <c r="D19" t="str">
        <f>"EUS"</f>
        <v>EUS</v>
      </c>
      <c r="E19" t="str">
        <f>"EVER UNISON"</f>
        <v>EVER UNISON</v>
      </c>
      <c r="F19" t="str">
        <f>"EMC"</f>
        <v>EMC</v>
      </c>
      <c r="G19" t="str">
        <f t="shared" si="0"/>
        <v>OOCL</v>
      </c>
      <c r="H19" t="str">
        <f>"MEA4"</f>
        <v>MEA4</v>
      </c>
      <c r="I19" t="str">
        <f>"180"</f>
        <v>180</v>
      </c>
      <c r="J19" t="str">
        <f>"E"</f>
        <v>E</v>
      </c>
      <c r="K19" t="str">
        <f>"4"</f>
        <v>4</v>
      </c>
      <c r="L19" t="str">
        <f t="shared" si="11"/>
        <v>HKG02</v>
      </c>
      <c r="M19" t="str">
        <f t="shared" si="12"/>
        <v>HIT - Hongkong International Terminals</v>
      </c>
      <c r="N19" t="str">
        <f t="shared" si="1"/>
        <v>HKG</v>
      </c>
      <c r="O19" t="str">
        <f t="shared" si="2"/>
        <v>1</v>
      </c>
      <c r="P19" t="str">
        <f>"9V7958"</f>
        <v>9V7958</v>
      </c>
      <c r="Q19" t="str">
        <f>"1620-180E"</f>
        <v>1620-180E</v>
      </c>
      <c r="R19" t="str">
        <f>"1620-180E"</f>
        <v>1620-180E</v>
      </c>
      <c r="S19" t="str">
        <f>"CHT"</f>
        <v>CHT</v>
      </c>
      <c r="T19" t="str">
        <f>"01 Aug 2019 15:30"</f>
        <v>01 Aug 2019 15:30</v>
      </c>
      <c r="U19" t="str">
        <f>"02 Aug 2019 03:30"</f>
        <v>02 Aug 2019 03:30</v>
      </c>
      <c r="V19" t="str">
        <f>"12h"</f>
        <v>12h</v>
      </c>
      <c r="W19" t="str">
        <f>"02 Aug 2019 06:00"</f>
        <v>02 Aug 2019 06:00</v>
      </c>
      <c r="X19" t="str">
        <f>""</f>
        <v/>
      </c>
      <c r="Y19" t="str">
        <f>"02 Aug 2019 14:00"</f>
        <v>02 Aug 2019 14:00</v>
      </c>
      <c r="Z19" t="str">
        <f>""</f>
        <v/>
      </c>
      <c r="AA19" t="str">
        <f>""</f>
        <v/>
      </c>
      <c r="AB19" t="str">
        <f t="shared" si="3"/>
        <v>NN</v>
      </c>
      <c r="AC19" t="str">
        <f>"CC"</f>
        <v>CC</v>
      </c>
      <c r="AD19" t="str">
        <f>"15"</f>
        <v>15</v>
      </c>
      <c r="AE19" t="str">
        <f>"11"</f>
        <v>11</v>
      </c>
      <c r="AF19" t="str">
        <f>"03 Aug 2019 06:00"</f>
        <v>03 Aug 2019 06:00</v>
      </c>
      <c r="AG19" t="str">
        <f>"03 Aug 2019 06:00"</f>
        <v>03 Aug 2019 06:00</v>
      </c>
      <c r="AH19" t="str">
        <f>"03 Aug 2019 06:00"</f>
        <v>03 Aug 2019 06:00</v>
      </c>
      <c r="AI19" t="str">
        <f>"03 Aug 2019 06:00"</f>
        <v>03 Aug 2019 06:00</v>
      </c>
      <c r="AJ19" t="str">
        <f>"03 Aug 2019 06:00"</f>
        <v>03 Aug 2019 06:00</v>
      </c>
      <c r="AK19" t="str">
        <f t="shared" ref="AK19:AP19" si="20">"31 Jul 2019 23:00"</f>
        <v>31 Jul 2019 23:00</v>
      </c>
      <c r="AL19" t="str">
        <f t="shared" si="20"/>
        <v>31 Jul 2019 23:00</v>
      </c>
      <c r="AM19" t="str">
        <f t="shared" si="20"/>
        <v>31 Jul 2019 23:00</v>
      </c>
      <c r="AN19" t="str">
        <f t="shared" si="20"/>
        <v>31 Jul 2019 23:00</v>
      </c>
      <c r="AO19" t="str">
        <f t="shared" si="20"/>
        <v>31 Jul 2019 23:00</v>
      </c>
      <c r="AP19" t="str">
        <f t="shared" si="20"/>
        <v>31 Jul 2019 23:00</v>
      </c>
      <c r="AQ19" t="str">
        <f>"02 Aug 2019 14:00"</f>
        <v>02 Aug 2019 14:00</v>
      </c>
      <c r="AR19" t="str">
        <f t="shared" si="19"/>
        <v>Y</v>
      </c>
      <c r="AS19" t="str">
        <f t="shared" si="19"/>
        <v>Y</v>
      </c>
      <c r="AT19" t="str">
        <f t="shared" si="19"/>
        <v>Y</v>
      </c>
      <c r="AU19" t="str">
        <f t="shared" si="5"/>
        <v>N</v>
      </c>
      <c r="AV19" t="str">
        <f t="shared" si="5"/>
        <v>N</v>
      </c>
      <c r="AW19" t="str">
        <f>""</f>
        <v/>
      </c>
      <c r="AX19" t="str">
        <f t="shared" si="6"/>
        <v>No</v>
      </c>
      <c r="AY19" t="str">
        <f>""</f>
        <v/>
      </c>
      <c r="AZ19" t="s">
        <v>12</v>
      </c>
      <c r="BA19" t="s">
        <v>115</v>
      </c>
      <c r="BB19" t="s">
        <v>110</v>
      </c>
    </row>
    <row r="20" spans="1:54">
      <c r="A20" s="7" t="str">
        <f t="shared" si="7"/>
        <v>PCS1GCO0TX3NE1MA</v>
      </c>
      <c r="B20" s="8">
        <f t="shared" si="8"/>
        <v>43676.708333333336</v>
      </c>
      <c r="C20" t="str">
        <f>"PCS1"</f>
        <v>PCS1</v>
      </c>
      <c r="D20" t="str">
        <f>"GCO"</f>
        <v>GCO</v>
      </c>
      <c r="E20" t="str">
        <f>"CMA CGM CHRISTOPHE COLOMB"</f>
        <v>CMA CGM CHRISTOPHE COLOMB</v>
      </c>
      <c r="F20" t="str">
        <f>"CMA CGM"</f>
        <v>CMA CGM</v>
      </c>
      <c r="G20" t="str">
        <f t="shared" si="0"/>
        <v>OOCL</v>
      </c>
      <c r="H20" t="str">
        <f>"PSW1"</f>
        <v>PSW1</v>
      </c>
      <c r="I20" t="str">
        <f>"211"</f>
        <v>211</v>
      </c>
      <c r="J20" t="str">
        <f>"E"</f>
        <v>E</v>
      </c>
      <c r="K20" t="str">
        <f>"3"</f>
        <v>3</v>
      </c>
      <c r="L20" t="str">
        <f t="shared" si="11"/>
        <v>HKG02</v>
      </c>
      <c r="M20" t="str">
        <f t="shared" si="12"/>
        <v>HIT - Hongkong International Terminals</v>
      </c>
      <c r="N20" t="str">
        <f t="shared" si="1"/>
        <v>HKG</v>
      </c>
      <c r="O20" t="str">
        <f t="shared" si="2"/>
        <v>1</v>
      </c>
      <c r="P20" t="str">
        <f>"FNUY"</f>
        <v>FNUY</v>
      </c>
      <c r="Q20" t="str">
        <f>"0TX3NE1MA"</f>
        <v>0TX3NE1MA</v>
      </c>
      <c r="R20" t="str">
        <f>"0TX3NE1MA"</f>
        <v>0TX3NE1MA</v>
      </c>
      <c r="S20" t="str">
        <f>"ACT"</f>
        <v>ACT</v>
      </c>
      <c r="T20" t="str">
        <f>"31 Jul 2019 07:00"</f>
        <v>31 Jul 2019 07:00</v>
      </c>
      <c r="U20" t="str">
        <f>"01 Aug 2019 03:00"</f>
        <v>01 Aug 2019 03:00</v>
      </c>
      <c r="V20" t="str">
        <f>"20h"</f>
        <v>20h</v>
      </c>
      <c r="W20" t="str">
        <f>"01 Aug 2019 13:30"</f>
        <v>01 Aug 2019 13:30</v>
      </c>
      <c r="X20" t="str">
        <f>""</f>
        <v/>
      </c>
      <c r="Y20" t="str">
        <f>"02 Aug 2019 07:00"</f>
        <v>02 Aug 2019 07:00</v>
      </c>
      <c r="Z20" t="str">
        <f>""</f>
        <v/>
      </c>
      <c r="AA20" t="str">
        <f>""</f>
        <v/>
      </c>
      <c r="AB20" t="str">
        <f t="shared" si="3"/>
        <v>NN</v>
      </c>
      <c r="AC20" t="str">
        <f>"CC"</f>
        <v>CC</v>
      </c>
      <c r="AD20" t="str">
        <f>"31"</f>
        <v>31</v>
      </c>
      <c r="AE20" t="str">
        <f>"28"</f>
        <v>28</v>
      </c>
      <c r="AF20" t="str">
        <f>"02 Aug 2019 13:30"</f>
        <v>02 Aug 2019 13:30</v>
      </c>
      <c r="AG20" t="str">
        <f>"02 Aug 2019 13:30"</f>
        <v>02 Aug 2019 13:30</v>
      </c>
      <c r="AH20" t="str">
        <f>"02 Aug 2019 13:30"</f>
        <v>02 Aug 2019 13:30</v>
      </c>
      <c r="AI20" t="str">
        <f>"02 Aug 2019 13:30"</f>
        <v>02 Aug 2019 13:30</v>
      </c>
      <c r="AJ20" t="str">
        <f>"02 Aug 2019 13:30"</f>
        <v>02 Aug 2019 13:30</v>
      </c>
      <c r="AK20" t="str">
        <f t="shared" ref="AK20:AP20" si="21">"30 Jul 2019 17:00"</f>
        <v>30 Jul 2019 17:00</v>
      </c>
      <c r="AL20" t="str">
        <f t="shared" si="21"/>
        <v>30 Jul 2019 17:00</v>
      </c>
      <c r="AM20" t="str">
        <f t="shared" si="21"/>
        <v>30 Jul 2019 17:00</v>
      </c>
      <c r="AN20" t="str">
        <f t="shared" si="21"/>
        <v>30 Jul 2019 17:00</v>
      </c>
      <c r="AO20" t="str">
        <f t="shared" si="21"/>
        <v>30 Jul 2019 17:00</v>
      </c>
      <c r="AP20" t="str">
        <f t="shared" si="21"/>
        <v>30 Jul 2019 17:00</v>
      </c>
      <c r="AQ20" t="str">
        <f>"02 Aug 2019 07:00"</f>
        <v>02 Aug 2019 07:00</v>
      </c>
      <c r="AR20" t="str">
        <f t="shared" si="19"/>
        <v>Y</v>
      </c>
      <c r="AS20" t="str">
        <f t="shared" si="19"/>
        <v>Y</v>
      </c>
      <c r="AT20" t="str">
        <f t="shared" si="19"/>
        <v>Y</v>
      </c>
      <c r="AU20" t="str">
        <f t="shared" si="5"/>
        <v>N</v>
      </c>
      <c r="AV20" t="str">
        <f t="shared" si="5"/>
        <v>N</v>
      </c>
      <c r="AW20" t="str">
        <f>""</f>
        <v/>
      </c>
      <c r="AX20" t="str">
        <f t="shared" si="6"/>
        <v>No</v>
      </c>
      <c r="AY20" t="str">
        <f>""</f>
        <v/>
      </c>
      <c r="AZ20" t="s">
        <v>12</v>
      </c>
      <c r="BA20" t="s">
        <v>110</v>
      </c>
      <c r="BB20" t="s">
        <v>110</v>
      </c>
    </row>
    <row r="21" spans="1:54">
      <c r="A21" s="7" t="str">
        <f t="shared" si="7"/>
        <v>PHF2KEE023S</v>
      </c>
      <c r="B21" s="8">
        <f t="shared" si="8"/>
        <v>43676.083333333336</v>
      </c>
      <c r="C21" t="str">
        <f>"PHF2"</f>
        <v>PHF2</v>
      </c>
      <c r="D21" t="str">
        <f>"KEE"</f>
        <v>KEE</v>
      </c>
      <c r="E21" t="str">
        <f>"OKEE ALBA"</f>
        <v>OKEE ALBA</v>
      </c>
      <c r="F21" t="str">
        <f>"OOCL"</f>
        <v>OOCL</v>
      </c>
      <c r="G21" t="str">
        <f t="shared" si="0"/>
        <v>OOCL</v>
      </c>
      <c r="H21" t="str">
        <f>""</f>
        <v/>
      </c>
      <c r="I21" t="str">
        <f>"023"</f>
        <v>023</v>
      </c>
      <c r="J21" t="str">
        <f t="shared" ref="J21:J30" si="22">"S"</f>
        <v>S</v>
      </c>
      <c r="K21" t="str">
        <f>"2"</f>
        <v>2</v>
      </c>
      <c r="L21" t="str">
        <f t="shared" si="11"/>
        <v>HKG02</v>
      </c>
      <c r="M21" t="str">
        <f t="shared" si="12"/>
        <v>HIT - Hongkong International Terminals</v>
      </c>
      <c r="N21" t="str">
        <f t="shared" si="1"/>
        <v>HKG</v>
      </c>
      <c r="O21" t="str">
        <f t="shared" si="2"/>
        <v>1</v>
      </c>
      <c r="P21" t="str">
        <f>"A8DT8"</f>
        <v>A8DT8</v>
      </c>
      <c r="Q21" t="str">
        <f>"023S"</f>
        <v>023S</v>
      </c>
      <c r="R21" t="str">
        <f>"023S"</f>
        <v>023S</v>
      </c>
      <c r="S21" t="str">
        <f>""</f>
        <v/>
      </c>
      <c r="T21" t="str">
        <f>"30 Jul 2019 16:00"</f>
        <v>30 Jul 2019 16:00</v>
      </c>
      <c r="U21" t="str">
        <f>"31 Jul 2019 13:00"</f>
        <v>31 Jul 2019 13:00</v>
      </c>
      <c r="V21" t="str">
        <f>"21h"</f>
        <v>21h</v>
      </c>
      <c r="W21" t="str">
        <f>"30 Jul 2019 21:00"</f>
        <v>30 Jul 2019 21:00</v>
      </c>
      <c r="X21" t="str">
        <f>"30 Jul 2019 20:35"</f>
        <v>30 Jul 2019 20:35</v>
      </c>
      <c r="Y21" t="str">
        <f>"31 Jul 2019 08:00"</f>
        <v>31 Jul 2019 08:00</v>
      </c>
      <c r="Z21" t="str">
        <f>"31 Jul 2019 08:20"</f>
        <v>31 Jul 2019 08:20</v>
      </c>
      <c r="AA21" t="str">
        <f>"11h 44m"</f>
        <v>11h 44m</v>
      </c>
      <c r="AB21" t="str">
        <f t="shared" si="3"/>
        <v>NN</v>
      </c>
      <c r="AC21" t="str">
        <f>"AA"</f>
        <v>AA</v>
      </c>
      <c r="AD21" t="str">
        <f>"5"</f>
        <v>5</v>
      </c>
      <c r="AE21" t="str">
        <f>"-5"</f>
        <v>-5</v>
      </c>
      <c r="AF21" t="str">
        <f>"01 Aug 2019 21:00"</f>
        <v>01 Aug 2019 21:00</v>
      </c>
      <c r="AG21" t="str">
        <f>"01 Aug 2019 21:00"</f>
        <v>01 Aug 2019 21:00</v>
      </c>
      <c r="AH21" t="str">
        <f>"01 Aug 2019 21:00"</f>
        <v>01 Aug 2019 21:00</v>
      </c>
      <c r="AI21" t="str">
        <f>"01 Aug 2019 21:00"</f>
        <v>01 Aug 2019 21:00</v>
      </c>
      <c r="AJ21" t="str">
        <f>"01 Aug 2019 21:00"</f>
        <v>01 Aug 2019 21:00</v>
      </c>
      <c r="AK21" t="str">
        <f>"30 Jul 2019 10:00"</f>
        <v>30 Jul 2019 10:00</v>
      </c>
      <c r="AL21" t="str">
        <f>"30 Jul 2019 10:00"</f>
        <v>30 Jul 2019 10:00</v>
      </c>
      <c r="AM21" t="str">
        <f>"30 Jul 2019 10:00"</f>
        <v>30 Jul 2019 10:00</v>
      </c>
      <c r="AN21" t="str">
        <f>"30 Jul 2019 10:00"</f>
        <v>30 Jul 2019 10:00</v>
      </c>
      <c r="AO21" t="str">
        <f>"30 Jul 2019 10:00"</f>
        <v>30 Jul 2019 10:00</v>
      </c>
      <c r="AP21" t="str">
        <f>"30 Jul 2019 02:00"</f>
        <v>30 Jul 2019 02:00</v>
      </c>
      <c r="AQ21" t="str">
        <f>"31 Jul 2019 08:20"</f>
        <v>31 Jul 2019 08:20</v>
      </c>
      <c r="AR21" t="str">
        <f t="shared" si="19"/>
        <v>Y</v>
      </c>
      <c r="AS21" t="str">
        <f t="shared" si="19"/>
        <v>Y</v>
      </c>
      <c r="AT21" t="str">
        <f t="shared" si="19"/>
        <v>Y</v>
      </c>
      <c r="AU21" t="str">
        <f t="shared" si="5"/>
        <v>N</v>
      </c>
      <c r="AV21" t="str">
        <f t="shared" si="5"/>
        <v>N</v>
      </c>
      <c r="AW21" t="str">
        <f>""</f>
        <v/>
      </c>
      <c r="AX21" t="str">
        <f t="shared" si="6"/>
        <v>No</v>
      </c>
      <c r="AY21" t="str">
        <f>""</f>
        <v/>
      </c>
      <c r="AZ21" t="s">
        <v>12</v>
      </c>
      <c r="BA21" t="s">
        <v>110</v>
      </c>
      <c r="BB21" t="s">
        <v>110</v>
      </c>
    </row>
    <row r="22" spans="1:54">
      <c r="A22" s="7" t="str">
        <f t="shared" si="7"/>
        <v>PHKG2SZ085S</v>
      </c>
      <c r="B22" s="8" t="e">
        <f t="shared" si="8"/>
        <v>#VALUE!</v>
      </c>
      <c r="C22" t="str">
        <f t="shared" ref="C22:C85" si="23">"PHKG"</f>
        <v>PHKG</v>
      </c>
      <c r="D22" t="str">
        <f>"2SZ"</f>
        <v>2SZ</v>
      </c>
      <c r="E22" t="str">
        <f>"FENG DA 558"</f>
        <v>FENG DA 558</v>
      </c>
      <c r="F22" t="str">
        <f>""</f>
        <v/>
      </c>
      <c r="G22" t="str">
        <f t="shared" si="0"/>
        <v>OOCL</v>
      </c>
      <c r="H22" t="str">
        <f>""</f>
        <v/>
      </c>
      <c r="I22" t="str">
        <f>"085"</f>
        <v>085</v>
      </c>
      <c r="J22" t="str">
        <f t="shared" si="22"/>
        <v>S</v>
      </c>
      <c r="K22" t="str">
        <f>"2"</f>
        <v>2</v>
      </c>
      <c r="L22" t="str">
        <f t="shared" si="11"/>
        <v>HKG02</v>
      </c>
      <c r="M22" t="str">
        <f t="shared" si="12"/>
        <v>HIT - Hongkong International Terminals</v>
      </c>
      <c r="N22" t="str">
        <f t="shared" si="1"/>
        <v>HKG</v>
      </c>
      <c r="O22" t="str">
        <f t="shared" si="2"/>
        <v>1</v>
      </c>
      <c r="P22" t="str">
        <f>""</f>
        <v/>
      </c>
      <c r="Q22" t="str">
        <f>"085S"</f>
        <v>085S</v>
      </c>
      <c r="R22" t="str">
        <f>"085S"</f>
        <v>085S</v>
      </c>
      <c r="S22" t="str">
        <f>""</f>
        <v/>
      </c>
      <c r="T22" t="str">
        <f>"30 Jul 2019 00:00"</f>
        <v>30 Jul 2019 00:00</v>
      </c>
      <c r="U22" t="str">
        <f>"30 Jul 2019 01:00"</f>
        <v>30 Jul 2019 01:00</v>
      </c>
      <c r="V22" t="str">
        <f>"1h"</f>
        <v>1h</v>
      </c>
      <c r="W22" t="str">
        <f>"30 Jul 2019 00:00"</f>
        <v>30 Jul 2019 00:00</v>
      </c>
      <c r="X22" t="str">
        <f>"31 Jul 2019 02:08"</f>
        <v>31 Jul 2019 02:08</v>
      </c>
      <c r="Y22" t="str">
        <f>"30 Jul 2019 01:00"</f>
        <v>30 Jul 2019 01:00</v>
      </c>
      <c r="Z22" t="str">
        <f>"31 Jul 2019 08:48"</f>
        <v>31 Jul 2019 08:48</v>
      </c>
      <c r="AA22" t="str">
        <f>"6h 40m"</f>
        <v>6h 40m</v>
      </c>
      <c r="AB22" t="str">
        <f t="shared" si="3"/>
        <v>NN</v>
      </c>
      <c r="AC22" t="str">
        <f>"AA"</f>
        <v>AA</v>
      </c>
      <c r="AD22" t="str">
        <f>"26"</f>
        <v>26</v>
      </c>
      <c r="AE22" t="str">
        <f>"32"</f>
        <v>32</v>
      </c>
      <c r="AF22" t="str">
        <f>"01 Aug 2019 00:00"</f>
        <v>01 Aug 2019 00:00</v>
      </c>
      <c r="AG22" t="str">
        <f>"01 Aug 2019 00:00"</f>
        <v>01 Aug 2019 00:00</v>
      </c>
      <c r="AH22" t="str">
        <f>"01 Aug 2019 00:00"</f>
        <v>01 Aug 2019 00:00</v>
      </c>
      <c r="AI22" t="str">
        <f>"01 Aug 2019 00:00"</f>
        <v>01 Aug 2019 00:00</v>
      </c>
      <c r="AJ22" t="str">
        <f>"01 Aug 2019 00:00"</f>
        <v>01 Aug 2019 00:00</v>
      </c>
      <c r="AK22" t="str">
        <f>"30 Jul 2019 00:00"</f>
        <v>30 Jul 2019 00:00</v>
      </c>
      <c r="AL22" t="str">
        <f>"30 Jul 2019 00:00"</f>
        <v>30 Jul 2019 00:00</v>
      </c>
      <c r="AM22" t="str">
        <f>"30 Jul 2019 00:00"</f>
        <v>30 Jul 2019 00:00</v>
      </c>
      <c r="AN22" t="str">
        <f>"30 Jul 2019 00:00"</f>
        <v>30 Jul 2019 00:00</v>
      </c>
      <c r="AO22" t="str">
        <f>"30 Jul 2019 00:00"</f>
        <v>30 Jul 2019 00:00</v>
      </c>
      <c r="AP22" t="str">
        <f>""</f>
        <v/>
      </c>
      <c r="AQ22" t="str">
        <f>"31 Jul 2019 08:48"</f>
        <v>31 Jul 2019 08:48</v>
      </c>
      <c r="AR22" t="str">
        <f t="shared" si="19"/>
        <v>Y</v>
      </c>
      <c r="AS22" t="str">
        <f t="shared" si="19"/>
        <v>Y</v>
      </c>
      <c r="AT22" t="str">
        <f t="shared" si="19"/>
        <v>Y</v>
      </c>
      <c r="AU22" t="str">
        <f t="shared" ref="AU22:AV41" si="24">"N"</f>
        <v>N</v>
      </c>
      <c r="AV22" t="str">
        <f t="shared" si="24"/>
        <v>N</v>
      </c>
      <c r="AW22" t="str">
        <f>""</f>
        <v/>
      </c>
      <c r="AX22" t="str">
        <f t="shared" si="6"/>
        <v>No</v>
      </c>
      <c r="AY22" t="str">
        <f>""</f>
        <v/>
      </c>
      <c r="AZ22" t="s">
        <v>12</v>
      </c>
      <c r="BA22" t="s">
        <v>110</v>
      </c>
      <c r="BB22" t="s">
        <v>110</v>
      </c>
    </row>
    <row r="23" spans="1:54">
      <c r="A23" s="7" t="str">
        <f t="shared" si="7"/>
        <v>PHKG9WG071S</v>
      </c>
      <c r="B23" s="8" t="e">
        <f t="shared" si="8"/>
        <v>#VALUE!</v>
      </c>
      <c r="C23" t="str">
        <f t="shared" si="23"/>
        <v>PHKG</v>
      </c>
      <c r="D23" t="str">
        <f>"9WG"</f>
        <v>9WG</v>
      </c>
      <c r="E23" t="str">
        <f>"SHUN FENG 31"</f>
        <v>SHUN FENG 31</v>
      </c>
      <c r="F23" t="str">
        <f>""</f>
        <v/>
      </c>
      <c r="G23" t="str">
        <f t="shared" si="0"/>
        <v>OOCL</v>
      </c>
      <c r="H23" t="str">
        <f>""</f>
        <v/>
      </c>
      <c r="I23" t="str">
        <f>"071"</f>
        <v>071</v>
      </c>
      <c r="J23" t="str">
        <f t="shared" si="22"/>
        <v>S</v>
      </c>
      <c r="K23" t="str">
        <f>"2"</f>
        <v>2</v>
      </c>
      <c r="L23" t="str">
        <f t="shared" si="11"/>
        <v>HKG02</v>
      </c>
      <c r="M23" t="str">
        <f t="shared" si="12"/>
        <v>HIT - Hongkong International Terminals</v>
      </c>
      <c r="N23" t="str">
        <f t="shared" si="1"/>
        <v>HKG</v>
      </c>
      <c r="O23" t="str">
        <f t="shared" si="2"/>
        <v>1</v>
      </c>
      <c r="P23" t="str">
        <f>""</f>
        <v/>
      </c>
      <c r="Q23" t="str">
        <f>"071S"</f>
        <v>071S</v>
      </c>
      <c r="R23" t="str">
        <f>"071S"</f>
        <v>071S</v>
      </c>
      <c r="S23" t="str">
        <f>""</f>
        <v/>
      </c>
      <c r="T23" t="str">
        <f>"30 Jul 2019 09:00"</f>
        <v>30 Jul 2019 09:00</v>
      </c>
      <c r="U23" t="str">
        <f>"30 Jul 2019 11:00"</f>
        <v>30 Jul 2019 11:00</v>
      </c>
      <c r="V23" t="str">
        <f>"2h"</f>
        <v>2h</v>
      </c>
      <c r="W23" t="str">
        <f>"30 Jul 2019 09:00"</f>
        <v>30 Jul 2019 09:00</v>
      </c>
      <c r="X23" t="str">
        <f>"31 Jul 2019 05:50"</f>
        <v>31 Jul 2019 05:50</v>
      </c>
      <c r="Y23" t="str">
        <f>"30 Jul 2019 11:00"</f>
        <v>30 Jul 2019 11:00</v>
      </c>
      <c r="Z23" t="str">
        <f>"31 Jul 2019 06:59"</f>
        <v>31 Jul 2019 06:59</v>
      </c>
      <c r="AA23" t="str">
        <f>"1h 9m"</f>
        <v>1h 9m</v>
      </c>
      <c r="AB23" t="str">
        <f t="shared" si="3"/>
        <v>NN</v>
      </c>
      <c r="AC23" t="str">
        <f>"AA"</f>
        <v>AA</v>
      </c>
      <c r="AD23" t="str">
        <f>"21"</f>
        <v>21</v>
      </c>
      <c r="AE23" t="str">
        <f>"20"</f>
        <v>20</v>
      </c>
      <c r="AF23" t="str">
        <f>"01 Aug 2019 09:00"</f>
        <v>01 Aug 2019 09:00</v>
      </c>
      <c r="AG23" t="str">
        <f>"01 Aug 2019 09:00"</f>
        <v>01 Aug 2019 09:00</v>
      </c>
      <c r="AH23" t="str">
        <f>"01 Aug 2019 09:00"</f>
        <v>01 Aug 2019 09:00</v>
      </c>
      <c r="AI23" t="str">
        <f>"01 Aug 2019 09:00"</f>
        <v>01 Aug 2019 09:00</v>
      </c>
      <c r="AJ23" t="str">
        <f>"01 Aug 2019 09:00"</f>
        <v>01 Aug 2019 09:00</v>
      </c>
      <c r="AK23" t="str">
        <f>"30 Jul 2019 11:00"</f>
        <v>30 Jul 2019 11:00</v>
      </c>
      <c r="AL23" t="str">
        <f>"30 Jul 2019 11:00"</f>
        <v>30 Jul 2019 11:00</v>
      </c>
      <c r="AM23" t="str">
        <f>"30 Jul 2019 11:00"</f>
        <v>30 Jul 2019 11:00</v>
      </c>
      <c r="AN23" t="str">
        <f>"30 Jul 2019 11:00"</f>
        <v>30 Jul 2019 11:00</v>
      </c>
      <c r="AO23" t="str">
        <f>"30 Jul 2019 11:00"</f>
        <v>30 Jul 2019 11:00</v>
      </c>
      <c r="AP23" t="str">
        <f>""</f>
        <v/>
      </c>
      <c r="AQ23" t="str">
        <f>"31 Jul 2019 06:59"</f>
        <v>31 Jul 2019 06:59</v>
      </c>
      <c r="AR23" t="str">
        <f t="shared" si="19"/>
        <v>Y</v>
      </c>
      <c r="AS23" t="str">
        <f t="shared" si="19"/>
        <v>Y</v>
      </c>
      <c r="AT23" t="str">
        <f t="shared" si="19"/>
        <v>Y</v>
      </c>
      <c r="AU23" t="str">
        <f t="shared" si="24"/>
        <v>N</v>
      </c>
      <c r="AV23" t="str">
        <f t="shared" si="24"/>
        <v>N</v>
      </c>
      <c r="AW23" t="str">
        <f>""</f>
        <v/>
      </c>
      <c r="AX23" t="str">
        <f t="shared" si="6"/>
        <v>No</v>
      </c>
      <c r="AY23" t="str">
        <f>""</f>
        <v/>
      </c>
      <c r="AZ23" t="s">
        <v>12</v>
      </c>
      <c r="BA23" t="s">
        <v>112</v>
      </c>
      <c r="BB23" t="s">
        <v>110</v>
      </c>
    </row>
    <row r="24" spans="1:54">
      <c r="A24" s="7" t="str">
        <f t="shared" si="7"/>
        <v>PHKG4XA007S</v>
      </c>
      <c r="B24" s="8" t="e">
        <f t="shared" si="8"/>
        <v>#VALUE!</v>
      </c>
      <c r="C24" t="str">
        <f t="shared" si="23"/>
        <v>PHKG</v>
      </c>
      <c r="D24" t="str">
        <f>"4XA"</f>
        <v>4XA</v>
      </c>
      <c r="E24" t="str">
        <f>"HUA HAI 08"</f>
        <v>HUA HAI 08</v>
      </c>
      <c r="F24" t="str">
        <f>""</f>
        <v/>
      </c>
      <c r="G24" t="str">
        <f t="shared" si="0"/>
        <v>OOCL</v>
      </c>
      <c r="H24" t="str">
        <f>""</f>
        <v/>
      </c>
      <c r="I24" t="str">
        <f>"007"</f>
        <v>007</v>
      </c>
      <c r="J24" t="str">
        <f t="shared" si="22"/>
        <v>S</v>
      </c>
      <c r="K24" t="str">
        <f>"2"</f>
        <v>2</v>
      </c>
      <c r="L24" t="str">
        <f t="shared" si="11"/>
        <v>HKG02</v>
      </c>
      <c r="M24" t="str">
        <f t="shared" si="12"/>
        <v>HIT - Hongkong International Terminals</v>
      </c>
      <c r="N24" t="str">
        <f t="shared" si="1"/>
        <v>HKG</v>
      </c>
      <c r="O24" t="str">
        <f t="shared" si="2"/>
        <v>1</v>
      </c>
      <c r="P24" t="str">
        <f>""</f>
        <v/>
      </c>
      <c r="Q24" t="str">
        <f>"007S"</f>
        <v>007S</v>
      </c>
      <c r="R24" t="str">
        <f>"007S"</f>
        <v>007S</v>
      </c>
      <c r="S24" t="str">
        <f>""</f>
        <v/>
      </c>
      <c r="T24" t="str">
        <f>"30 Jul 2019 11:00"</f>
        <v>30 Jul 2019 11:00</v>
      </c>
      <c r="U24" t="str">
        <f>"30 Jul 2019 12:00"</f>
        <v>30 Jul 2019 12:00</v>
      </c>
      <c r="V24" t="str">
        <f>"1h"</f>
        <v>1h</v>
      </c>
      <c r="W24" t="str">
        <f>"30 Jul 2019 11:00"</f>
        <v>30 Jul 2019 11:00</v>
      </c>
      <c r="X24" t="str">
        <f>"31 Jul 2019 08:46"</f>
        <v>31 Jul 2019 08:46</v>
      </c>
      <c r="Y24" t="str">
        <f>"30 Jul 2019 12:00"</f>
        <v>30 Jul 2019 12:00</v>
      </c>
      <c r="Z24" t="str">
        <f>"31 Jul 2019 10:30"</f>
        <v>31 Jul 2019 10:30</v>
      </c>
      <c r="AA24" t="str">
        <f>"1h 44m"</f>
        <v>1h 44m</v>
      </c>
      <c r="AB24" t="str">
        <f t="shared" si="3"/>
        <v>NN</v>
      </c>
      <c r="AC24" t="str">
        <f>"AA"</f>
        <v>AA</v>
      </c>
      <c r="AD24" t="str">
        <f>"22"</f>
        <v>22</v>
      </c>
      <c r="AE24" t="str">
        <f>"23"</f>
        <v>23</v>
      </c>
      <c r="AF24" t="str">
        <f>"01 Aug 2019 13:00"</f>
        <v>01 Aug 2019 13:00</v>
      </c>
      <c r="AG24" t="str">
        <f>"01 Aug 2019 13:00"</f>
        <v>01 Aug 2019 13:00</v>
      </c>
      <c r="AH24" t="str">
        <f>"01 Aug 2019 13:00"</f>
        <v>01 Aug 2019 13:00</v>
      </c>
      <c r="AI24" t="str">
        <f>"01 Aug 2019 13:00"</f>
        <v>01 Aug 2019 13:00</v>
      </c>
      <c r="AJ24" t="str">
        <f>"01 Aug 2019 13:00"</f>
        <v>01 Aug 2019 13:00</v>
      </c>
      <c r="AK24" t="str">
        <f>"30 Jul 2019 12:00"</f>
        <v>30 Jul 2019 12:00</v>
      </c>
      <c r="AL24" t="str">
        <f>"30 Jul 2019 12:00"</f>
        <v>30 Jul 2019 12:00</v>
      </c>
      <c r="AM24" t="str">
        <f>"30 Jul 2019 12:00"</f>
        <v>30 Jul 2019 12:00</v>
      </c>
      <c r="AN24" t="str">
        <f>"30 Jul 2019 12:00"</f>
        <v>30 Jul 2019 12:00</v>
      </c>
      <c r="AO24" t="str">
        <f>"30 Jul 2019 12:00"</f>
        <v>30 Jul 2019 12:00</v>
      </c>
      <c r="AP24" t="str">
        <f>""</f>
        <v/>
      </c>
      <c r="AQ24" t="str">
        <f>"31 Jul 2019 10:30"</f>
        <v>31 Jul 2019 10:30</v>
      </c>
      <c r="AR24" t="str">
        <f t="shared" si="19"/>
        <v>Y</v>
      </c>
      <c r="AS24" t="str">
        <f t="shared" si="19"/>
        <v>Y</v>
      </c>
      <c r="AT24" t="str">
        <f t="shared" si="19"/>
        <v>Y</v>
      </c>
      <c r="AU24" t="str">
        <f t="shared" si="24"/>
        <v>N</v>
      </c>
      <c r="AV24" t="str">
        <f t="shared" si="24"/>
        <v>N</v>
      </c>
      <c r="AW24" t="str">
        <f>""</f>
        <v/>
      </c>
      <c r="AX24" t="str">
        <f t="shared" si="6"/>
        <v>No</v>
      </c>
      <c r="AY24" t="str">
        <f>""</f>
        <v/>
      </c>
      <c r="AZ24" t="s">
        <v>12</v>
      </c>
      <c r="BA24" t="s">
        <v>110</v>
      </c>
      <c r="BB24" t="s">
        <v>110</v>
      </c>
    </row>
    <row r="25" spans="1:54">
      <c r="A25" s="7" t="str">
        <f t="shared" si="7"/>
        <v>PHKGKJ7585S</v>
      </c>
      <c r="B25" s="8" t="e">
        <f t="shared" si="8"/>
        <v>#VALUE!</v>
      </c>
      <c r="C25" t="str">
        <f t="shared" si="23"/>
        <v>PHKG</v>
      </c>
      <c r="D25" t="str">
        <f>"KJ7"</f>
        <v>KJ7</v>
      </c>
      <c r="E25" t="str">
        <f>"GUAN HANG 361"</f>
        <v>GUAN HANG 361</v>
      </c>
      <c r="F25" t="str">
        <f>""</f>
        <v/>
      </c>
      <c r="G25" t="str">
        <f t="shared" si="0"/>
        <v>OOCL</v>
      </c>
      <c r="H25" t="str">
        <f>""</f>
        <v/>
      </c>
      <c r="I25" t="str">
        <f>"585"</f>
        <v>585</v>
      </c>
      <c r="J25" t="str">
        <f t="shared" si="22"/>
        <v>S</v>
      </c>
      <c r="K25" t="str">
        <f>"2"</f>
        <v>2</v>
      </c>
      <c r="L25" t="str">
        <f t="shared" si="11"/>
        <v>HKG02</v>
      </c>
      <c r="M25" t="str">
        <f t="shared" si="12"/>
        <v>HIT - Hongkong International Terminals</v>
      </c>
      <c r="N25" t="str">
        <f t="shared" si="1"/>
        <v>HKG</v>
      </c>
      <c r="O25" t="str">
        <f t="shared" si="2"/>
        <v>1</v>
      </c>
      <c r="P25" t="str">
        <f>""</f>
        <v/>
      </c>
      <c r="Q25" t="str">
        <f>"585S"</f>
        <v>585S</v>
      </c>
      <c r="R25" t="str">
        <f>"585S"</f>
        <v>585S</v>
      </c>
      <c r="S25" t="str">
        <f>""</f>
        <v/>
      </c>
      <c r="T25" t="str">
        <f>"30 Jul 2019 11:00"</f>
        <v>30 Jul 2019 11:00</v>
      </c>
      <c r="U25" t="str">
        <f>"30 Jul 2019 12:00"</f>
        <v>30 Jul 2019 12:00</v>
      </c>
      <c r="V25" t="str">
        <f>"1h"</f>
        <v>1h</v>
      </c>
      <c r="W25" t="str">
        <f>"30 Jul 2019 11:00"</f>
        <v>30 Jul 2019 11:00</v>
      </c>
      <c r="X25" t="str">
        <f>"30 Jul 2019 23:15"</f>
        <v>30 Jul 2019 23:15</v>
      </c>
      <c r="Y25" t="str">
        <f>"30 Jul 2019 12:00"</f>
        <v>30 Jul 2019 12:00</v>
      </c>
      <c r="Z25" t="str">
        <f>"31 Jul 2019 01:39"</f>
        <v>31 Jul 2019 01:39</v>
      </c>
      <c r="AA25" t="str">
        <f>"2h 24m"</f>
        <v>2h 24m</v>
      </c>
      <c r="AB25" t="str">
        <f t="shared" si="3"/>
        <v>NN</v>
      </c>
      <c r="AC25" t="str">
        <f>"AA"</f>
        <v>AA</v>
      </c>
      <c r="AD25" t="str">
        <f>"12"</f>
        <v>12</v>
      </c>
      <c r="AE25" t="str">
        <f>"14"</f>
        <v>14</v>
      </c>
      <c r="AF25" t="str">
        <f>"31 Jul 2019 11:00"</f>
        <v>31 Jul 2019 11:00</v>
      </c>
      <c r="AG25" t="str">
        <f>"31 Jul 2019 11:00"</f>
        <v>31 Jul 2019 11:00</v>
      </c>
      <c r="AH25" t="str">
        <f>"31 Jul 2019 11:00"</f>
        <v>31 Jul 2019 11:00</v>
      </c>
      <c r="AI25" t="str">
        <f>"31 Jul 2019 11:00"</f>
        <v>31 Jul 2019 11:00</v>
      </c>
      <c r="AJ25" t="str">
        <f>"31 Jul 2019 11:00"</f>
        <v>31 Jul 2019 11:00</v>
      </c>
      <c r="AK25" t="str">
        <f>"30 Jul 2019 10:00"</f>
        <v>30 Jul 2019 10:00</v>
      </c>
      <c r="AL25" t="str">
        <f>"30 Jul 2019 10:00"</f>
        <v>30 Jul 2019 10:00</v>
      </c>
      <c r="AM25" t="str">
        <f>"30 Jul 2019 10:00"</f>
        <v>30 Jul 2019 10:00</v>
      </c>
      <c r="AN25" t="str">
        <f>"30 Jul 2019 10:00"</f>
        <v>30 Jul 2019 10:00</v>
      </c>
      <c r="AO25" t="str">
        <f>"30 Jul 2019 10:00"</f>
        <v>30 Jul 2019 10:00</v>
      </c>
      <c r="AP25" t="str">
        <f>""</f>
        <v/>
      </c>
      <c r="AQ25" t="str">
        <f>"31 Jul 2019 01:39"</f>
        <v>31 Jul 2019 01:39</v>
      </c>
      <c r="AR25" t="str">
        <f t="shared" si="19"/>
        <v>Y</v>
      </c>
      <c r="AS25" t="str">
        <f t="shared" si="19"/>
        <v>Y</v>
      </c>
      <c r="AT25" t="str">
        <f t="shared" si="19"/>
        <v>Y</v>
      </c>
      <c r="AU25" t="str">
        <f t="shared" si="24"/>
        <v>N</v>
      </c>
      <c r="AV25" t="str">
        <f t="shared" si="24"/>
        <v>N</v>
      </c>
      <c r="AW25" t="str">
        <f>""</f>
        <v/>
      </c>
      <c r="AX25" t="str">
        <f t="shared" si="6"/>
        <v>No</v>
      </c>
      <c r="AY25" t="str">
        <f>""</f>
        <v/>
      </c>
      <c r="AZ25" t="s">
        <v>12</v>
      </c>
      <c r="BA25" t="s">
        <v>115</v>
      </c>
      <c r="BB25" t="s">
        <v>119</v>
      </c>
    </row>
    <row r="26" spans="1:54">
      <c r="A26" s="7" t="str">
        <f t="shared" si="7"/>
        <v>PHKGKJ7585S</v>
      </c>
      <c r="B26" s="8" t="e">
        <f t="shared" si="8"/>
        <v>#VALUE!</v>
      </c>
      <c r="C26" t="str">
        <f t="shared" si="23"/>
        <v>PHKG</v>
      </c>
      <c r="D26" t="str">
        <f>"KJ7"</f>
        <v>KJ7</v>
      </c>
      <c r="E26" t="str">
        <f>"GUAN HANG 361"</f>
        <v>GUAN HANG 361</v>
      </c>
      <c r="F26" t="str">
        <f>""</f>
        <v/>
      </c>
      <c r="G26" t="str">
        <f t="shared" si="0"/>
        <v>OOCL</v>
      </c>
      <c r="H26" t="str">
        <f>""</f>
        <v/>
      </c>
      <c r="I26" t="str">
        <f>"585"</f>
        <v>585</v>
      </c>
      <c r="J26" t="str">
        <f t="shared" si="22"/>
        <v>S</v>
      </c>
      <c r="K26" t="str">
        <f>"3"</f>
        <v>3</v>
      </c>
      <c r="L26" t="str">
        <f>"HKG04"</f>
        <v>HKG04</v>
      </c>
      <c r="M26" t="str">
        <f>"Cosco - HIT Terminals (HK) Ltd"</f>
        <v>Cosco - HIT Terminals (HK) Ltd</v>
      </c>
      <c r="N26" t="str">
        <f t="shared" si="1"/>
        <v>HKG</v>
      </c>
      <c r="O26" t="str">
        <f>"2"</f>
        <v>2</v>
      </c>
      <c r="P26" t="str">
        <f>""</f>
        <v/>
      </c>
      <c r="Q26" t="str">
        <f>"585S"</f>
        <v>585S</v>
      </c>
      <c r="R26" t="str">
        <f>"585S"</f>
        <v>585S</v>
      </c>
      <c r="S26" t="str">
        <f>""</f>
        <v/>
      </c>
      <c r="T26" t="str">
        <f>"30 Jul 2019 15:00"</f>
        <v>30 Jul 2019 15:00</v>
      </c>
      <c r="U26" t="str">
        <f>"30 Jul 2019 16:00"</f>
        <v>30 Jul 2019 16:00</v>
      </c>
      <c r="V26" t="str">
        <f>"1h"</f>
        <v>1h</v>
      </c>
      <c r="W26" t="str">
        <f>"31 Jul 2019 03:39"</f>
        <v>31 Jul 2019 03:39</v>
      </c>
      <c r="X26" t="str">
        <f>""</f>
        <v/>
      </c>
      <c r="Y26" t="str">
        <f>"31 Jul 2019 05:39"</f>
        <v>31 Jul 2019 05:39</v>
      </c>
      <c r="Z26" t="str">
        <f>""</f>
        <v/>
      </c>
      <c r="AA26" t="str">
        <f>""</f>
        <v/>
      </c>
      <c r="AB26" t="str">
        <f t="shared" si="3"/>
        <v>NN</v>
      </c>
      <c r="AC26" t="str">
        <f>"CC"</f>
        <v>CC</v>
      </c>
      <c r="AD26" t="str">
        <f>"13"</f>
        <v>13</v>
      </c>
      <c r="AE26" t="str">
        <f>"14"</f>
        <v>14</v>
      </c>
      <c r="AF26" t="str">
        <f>"01 Aug 2019 15:00"</f>
        <v>01 Aug 2019 15:00</v>
      </c>
      <c r="AG26" t="str">
        <f>"01 Aug 2019 15:00"</f>
        <v>01 Aug 2019 15:00</v>
      </c>
      <c r="AH26" t="str">
        <f>"01 Aug 2019 15:00"</f>
        <v>01 Aug 2019 15:00</v>
      </c>
      <c r="AI26" t="str">
        <f>"01 Aug 2019 15:00"</f>
        <v>01 Aug 2019 15:00</v>
      </c>
      <c r="AJ26" t="str">
        <f>"01 Aug 2019 15:00"</f>
        <v>01 Aug 2019 15:00</v>
      </c>
      <c r="AK26" t="str">
        <f>"30 Jul 2019 16:00"</f>
        <v>30 Jul 2019 16:00</v>
      </c>
      <c r="AL26" t="str">
        <f>"30 Jul 2019 16:00"</f>
        <v>30 Jul 2019 16:00</v>
      </c>
      <c r="AM26" t="str">
        <f>"30 Jul 2019 16:00"</f>
        <v>30 Jul 2019 16:00</v>
      </c>
      <c r="AN26" t="str">
        <f>"30 Jul 2019 16:00"</f>
        <v>30 Jul 2019 16:00</v>
      </c>
      <c r="AO26" t="str">
        <f>"30 Jul 2019 16:00"</f>
        <v>30 Jul 2019 16:00</v>
      </c>
      <c r="AP26" t="str">
        <f>""</f>
        <v/>
      </c>
      <c r="AQ26" t="str">
        <f>"31 Jul 2019 05:39"</f>
        <v>31 Jul 2019 05:39</v>
      </c>
      <c r="AR26" t="str">
        <f t="shared" si="19"/>
        <v>Y</v>
      </c>
      <c r="AS26" t="str">
        <f t="shared" si="19"/>
        <v>Y</v>
      </c>
      <c r="AT26" t="str">
        <f t="shared" si="19"/>
        <v>Y</v>
      </c>
      <c r="AU26" t="str">
        <f t="shared" si="24"/>
        <v>N</v>
      </c>
      <c r="AV26" t="str">
        <f t="shared" si="24"/>
        <v>N</v>
      </c>
      <c r="AW26" t="str">
        <f>""</f>
        <v/>
      </c>
      <c r="AX26" t="str">
        <f t="shared" si="6"/>
        <v>No</v>
      </c>
      <c r="AY26" t="str">
        <f>""</f>
        <v/>
      </c>
      <c r="AZ26" t="s">
        <v>12</v>
      </c>
      <c r="BA26" t="s">
        <v>110</v>
      </c>
      <c r="BB26" t="s">
        <v>110</v>
      </c>
    </row>
    <row r="27" spans="1:54">
      <c r="A27" s="7" t="str">
        <f t="shared" si="7"/>
        <v>PHKGSG5824S</v>
      </c>
      <c r="B27" s="8" t="e">
        <f t="shared" si="8"/>
        <v>#VALUE!</v>
      </c>
      <c r="C27" t="str">
        <f t="shared" si="23"/>
        <v>PHKG</v>
      </c>
      <c r="D27" t="str">
        <f>"SG5"</f>
        <v>SG5</v>
      </c>
      <c r="E27" t="str">
        <f>"XING HANG 668"</f>
        <v>XING HANG 668</v>
      </c>
      <c r="F27" t="str">
        <f>""</f>
        <v/>
      </c>
      <c r="G27" t="str">
        <f t="shared" si="0"/>
        <v>OOCL</v>
      </c>
      <c r="H27" t="str">
        <f>""</f>
        <v/>
      </c>
      <c r="I27" t="str">
        <f>"824"</f>
        <v>824</v>
      </c>
      <c r="J27" t="str">
        <f t="shared" si="22"/>
        <v>S</v>
      </c>
      <c r="K27" t="str">
        <f>"2"</f>
        <v>2</v>
      </c>
      <c r="L27" t="str">
        <f t="shared" ref="L27:L35" si="25">"HKG02"</f>
        <v>HKG02</v>
      </c>
      <c r="M27" t="str">
        <f t="shared" ref="M27:M35" si="26">"HIT - Hongkong International Terminals"</f>
        <v>HIT - Hongkong International Terminals</v>
      </c>
      <c r="N27" t="str">
        <f t="shared" si="1"/>
        <v>HKG</v>
      </c>
      <c r="O27" t="str">
        <f t="shared" ref="O27:O42" si="27">"1"</f>
        <v>1</v>
      </c>
      <c r="P27" t="str">
        <f>""</f>
        <v/>
      </c>
      <c r="Q27" t="str">
        <f>"824S"</f>
        <v>824S</v>
      </c>
      <c r="R27" t="str">
        <f>"824S"</f>
        <v>824S</v>
      </c>
      <c r="S27" t="str">
        <f>""</f>
        <v/>
      </c>
      <c r="T27" t="str">
        <f>"30 Jul 2019 11:00"</f>
        <v>30 Jul 2019 11:00</v>
      </c>
      <c r="U27" t="str">
        <f>"30 Jul 2019 13:00"</f>
        <v>30 Jul 2019 13:00</v>
      </c>
      <c r="V27" t="str">
        <f>"2h"</f>
        <v>2h</v>
      </c>
      <c r="W27" t="str">
        <f>"30 Jul 2019 11:00"</f>
        <v>30 Jul 2019 11:00</v>
      </c>
      <c r="X27" t="str">
        <f>"31 Jul 2019 11:00"</f>
        <v>31 Jul 2019 11:00</v>
      </c>
      <c r="Y27" t="str">
        <f>"30 Jul 2019 13:00"</f>
        <v>30 Jul 2019 13:00</v>
      </c>
      <c r="Z27" t="str">
        <f>"31 Jul 2019 13:00"</f>
        <v>31 Jul 2019 13:00</v>
      </c>
      <c r="AA27" t="str">
        <f>"2h"</f>
        <v>2h</v>
      </c>
      <c r="AB27" t="str">
        <f t="shared" si="3"/>
        <v>NN</v>
      </c>
      <c r="AC27" t="str">
        <f t="shared" ref="AC27:AC35" si="28">"AA"</f>
        <v>AA</v>
      </c>
      <c r="AD27" t="str">
        <f>"24"</f>
        <v>24</v>
      </c>
      <c r="AE27" t="str">
        <f>"24"</f>
        <v>24</v>
      </c>
      <c r="AF27" t="str">
        <f>"31 Jul 2019 15:00"</f>
        <v>31 Jul 2019 15:00</v>
      </c>
      <c r="AG27" t="str">
        <f>"31 Jul 2019 15:00"</f>
        <v>31 Jul 2019 15:00</v>
      </c>
      <c r="AH27" t="str">
        <f>"31 Jul 2019 15:00"</f>
        <v>31 Jul 2019 15:00</v>
      </c>
      <c r="AI27" t="str">
        <f>"31 Jul 2019 15:00"</f>
        <v>31 Jul 2019 15:00</v>
      </c>
      <c r="AJ27" t="str">
        <f>"31 Jul 2019 15:00"</f>
        <v>31 Jul 2019 15:00</v>
      </c>
      <c r="AK27" t="str">
        <f>"30 Jul 2019 12:00"</f>
        <v>30 Jul 2019 12:00</v>
      </c>
      <c r="AL27" t="str">
        <f>"30 Jul 2019 12:00"</f>
        <v>30 Jul 2019 12:00</v>
      </c>
      <c r="AM27" t="str">
        <f>"30 Jul 2019 12:00"</f>
        <v>30 Jul 2019 12:00</v>
      </c>
      <c r="AN27" t="str">
        <f>"30 Jul 2019 12:00"</f>
        <v>30 Jul 2019 12:00</v>
      </c>
      <c r="AO27" t="str">
        <f>"30 Jul 2019 12:00"</f>
        <v>30 Jul 2019 12:00</v>
      </c>
      <c r="AP27" t="str">
        <f>""</f>
        <v/>
      </c>
      <c r="AQ27" t="str">
        <f>"31 Jul 2019 13:00"</f>
        <v>31 Jul 2019 13:00</v>
      </c>
      <c r="AR27" t="str">
        <f t="shared" si="19"/>
        <v>Y</v>
      </c>
      <c r="AS27" t="str">
        <f t="shared" si="19"/>
        <v>Y</v>
      </c>
      <c r="AT27" t="str">
        <f t="shared" si="19"/>
        <v>Y</v>
      </c>
      <c r="AU27" t="str">
        <f t="shared" si="24"/>
        <v>N</v>
      </c>
      <c r="AV27" t="str">
        <f t="shared" si="24"/>
        <v>N</v>
      </c>
      <c r="AW27" t="str">
        <f>""</f>
        <v/>
      </c>
      <c r="AX27" t="str">
        <f t="shared" si="6"/>
        <v>No</v>
      </c>
      <c r="AY27" t="str">
        <f>""</f>
        <v/>
      </c>
      <c r="AZ27" t="s">
        <v>12</v>
      </c>
      <c r="BA27" t="s">
        <v>110</v>
      </c>
      <c r="BB27" t="s">
        <v>120</v>
      </c>
    </row>
    <row r="28" spans="1:54">
      <c r="A28" s="7" t="str">
        <f t="shared" si="7"/>
        <v>PHKG1FB173S</v>
      </c>
      <c r="B28" s="8" t="e">
        <f t="shared" si="8"/>
        <v>#VALUE!</v>
      </c>
      <c r="C28" t="str">
        <f t="shared" si="23"/>
        <v>PHKG</v>
      </c>
      <c r="D28" t="str">
        <f>"1FB"</f>
        <v>1FB</v>
      </c>
      <c r="E28" t="str">
        <f>"YUE WAN TONG 328"</f>
        <v>YUE WAN TONG 328</v>
      </c>
      <c r="F28" t="str">
        <f>""</f>
        <v/>
      </c>
      <c r="G28" t="str">
        <f t="shared" si="0"/>
        <v>OOCL</v>
      </c>
      <c r="H28" t="str">
        <f>""</f>
        <v/>
      </c>
      <c r="I28" t="str">
        <f>"173"</f>
        <v>173</v>
      </c>
      <c r="J28" t="str">
        <f t="shared" si="22"/>
        <v>S</v>
      </c>
      <c r="K28" t="str">
        <f>"2"</f>
        <v>2</v>
      </c>
      <c r="L28" t="str">
        <f t="shared" si="25"/>
        <v>HKG02</v>
      </c>
      <c r="M28" t="str">
        <f t="shared" si="26"/>
        <v>HIT - Hongkong International Terminals</v>
      </c>
      <c r="N28" t="str">
        <f t="shared" si="1"/>
        <v>HKG</v>
      </c>
      <c r="O28" t="str">
        <f t="shared" si="27"/>
        <v>1</v>
      </c>
      <c r="P28" t="str">
        <f>""</f>
        <v/>
      </c>
      <c r="Q28" t="str">
        <f>"173S"</f>
        <v>173S</v>
      </c>
      <c r="R28" t="str">
        <f>"173S"</f>
        <v>173S</v>
      </c>
      <c r="S28" t="str">
        <f>""</f>
        <v/>
      </c>
      <c r="T28" t="str">
        <f>"30 Jul 2019 16:00"</f>
        <v>30 Jul 2019 16:00</v>
      </c>
      <c r="U28" t="str">
        <f>"30 Jul 2019 17:00"</f>
        <v>30 Jul 2019 17:00</v>
      </c>
      <c r="V28" t="str">
        <f>"1h"</f>
        <v>1h</v>
      </c>
      <c r="W28" t="str">
        <f>"30 Jul 2019 16:00"</f>
        <v>30 Jul 2019 16:00</v>
      </c>
      <c r="X28" t="str">
        <f>"31 Jul 2019 04:18"</f>
        <v>31 Jul 2019 04:18</v>
      </c>
      <c r="Y28" t="str">
        <f>"30 Jul 2019 17:00"</f>
        <v>30 Jul 2019 17:00</v>
      </c>
      <c r="Z28" t="str">
        <f>"31 Jul 2019 10:27"</f>
        <v>31 Jul 2019 10:27</v>
      </c>
      <c r="AA28" t="str">
        <f>"6h 9m"</f>
        <v>6h 9m</v>
      </c>
      <c r="AB28" t="str">
        <f t="shared" si="3"/>
        <v>NN</v>
      </c>
      <c r="AC28" t="str">
        <f t="shared" si="28"/>
        <v>AA</v>
      </c>
      <c r="AD28" t="str">
        <f>"12"</f>
        <v>12</v>
      </c>
      <c r="AE28" t="str">
        <f>"17"</f>
        <v>17</v>
      </c>
      <c r="AF28" t="str">
        <f>"31 Jul 2019 10:27"</f>
        <v>31 Jul 2019 10:27</v>
      </c>
      <c r="AG28" t="str">
        <f>"31 Jul 2019 10:27"</f>
        <v>31 Jul 2019 10:27</v>
      </c>
      <c r="AH28" t="str">
        <f>"31 Jul 2019 10:27"</f>
        <v>31 Jul 2019 10:27</v>
      </c>
      <c r="AI28" t="str">
        <f>"31 Jul 2019 10:27"</f>
        <v>31 Jul 2019 10:27</v>
      </c>
      <c r="AJ28" t="str">
        <f>"31 Jul 2019 10:27"</f>
        <v>31 Jul 2019 10:27</v>
      </c>
      <c r="AK28" t="str">
        <f t="shared" ref="AK28:AO29" si="29">"30 Jul 2019 17:00"</f>
        <v>30 Jul 2019 17:00</v>
      </c>
      <c r="AL28" t="str">
        <f t="shared" si="29"/>
        <v>30 Jul 2019 17:00</v>
      </c>
      <c r="AM28" t="str">
        <f t="shared" si="29"/>
        <v>30 Jul 2019 17:00</v>
      </c>
      <c r="AN28" t="str">
        <f t="shared" si="29"/>
        <v>30 Jul 2019 17:00</v>
      </c>
      <c r="AO28" t="str">
        <f t="shared" si="29"/>
        <v>30 Jul 2019 17:00</v>
      </c>
      <c r="AP28" t="str">
        <f>""</f>
        <v/>
      </c>
      <c r="AQ28" t="str">
        <f>"31 Jul 2019 10:27"</f>
        <v>31 Jul 2019 10:27</v>
      </c>
      <c r="AR28" t="str">
        <f t="shared" si="19"/>
        <v>Y</v>
      </c>
      <c r="AS28" t="str">
        <f t="shared" si="19"/>
        <v>Y</v>
      </c>
      <c r="AT28" t="str">
        <f t="shared" si="19"/>
        <v>Y</v>
      </c>
      <c r="AU28" t="str">
        <f t="shared" si="24"/>
        <v>N</v>
      </c>
      <c r="AV28" t="str">
        <f t="shared" si="24"/>
        <v>N</v>
      </c>
      <c r="AW28" t="str">
        <f>""</f>
        <v/>
      </c>
      <c r="AX28" t="str">
        <f t="shared" si="6"/>
        <v>No</v>
      </c>
      <c r="AY28" t="str">
        <f>""</f>
        <v/>
      </c>
      <c r="AZ28" t="s">
        <v>12</v>
      </c>
      <c r="BA28" t="s">
        <v>110</v>
      </c>
      <c r="BB28" t="s">
        <v>110</v>
      </c>
    </row>
    <row r="29" spans="1:54">
      <c r="A29" s="7" t="str">
        <f t="shared" si="7"/>
        <v>PHKG3WR013S</v>
      </c>
      <c r="B29" s="8" t="e">
        <f t="shared" si="8"/>
        <v>#VALUE!</v>
      </c>
      <c r="C29" t="str">
        <f t="shared" si="23"/>
        <v>PHKG</v>
      </c>
      <c r="D29" t="str">
        <f>"3WR"</f>
        <v>3WR</v>
      </c>
      <c r="E29" t="str">
        <f>"ZHEN DONG 993"</f>
        <v>ZHEN DONG 993</v>
      </c>
      <c r="F29" t="str">
        <f>""</f>
        <v/>
      </c>
      <c r="G29" t="str">
        <f t="shared" si="0"/>
        <v>OOCL</v>
      </c>
      <c r="H29" t="str">
        <f>""</f>
        <v/>
      </c>
      <c r="I29" t="str">
        <f>"013"</f>
        <v>013</v>
      </c>
      <c r="J29" t="str">
        <f t="shared" si="22"/>
        <v>S</v>
      </c>
      <c r="K29" t="str">
        <f>"2"</f>
        <v>2</v>
      </c>
      <c r="L29" t="str">
        <f t="shared" si="25"/>
        <v>HKG02</v>
      </c>
      <c r="M29" t="str">
        <f t="shared" si="26"/>
        <v>HIT - Hongkong International Terminals</v>
      </c>
      <c r="N29" t="str">
        <f t="shared" si="1"/>
        <v>HKG</v>
      </c>
      <c r="O29" t="str">
        <f t="shared" si="27"/>
        <v>1</v>
      </c>
      <c r="P29" t="str">
        <f>""</f>
        <v/>
      </c>
      <c r="Q29" t="str">
        <f>"013S"</f>
        <v>013S</v>
      </c>
      <c r="R29" t="str">
        <f>"013S"</f>
        <v>013S</v>
      </c>
      <c r="S29" t="str">
        <f>""</f>
        <v/>
      </c>
      <c r="T29" t="str">
        <f>"30 Jul 2019 15:00"</f>
        <v>30 Jul 2019 15:00</v>
      </c>
      <c r="U29" t="str">
        <f>"30 Jul 2019 17:00"</f>
        <v>30 Jul 2019 17:00</v>
      </c>
      <c r="V29" t="str">
        <f>"2h"</f>
        <v>2h</v>
      </c>
      <c r="W29" t="str">
        <f>"30 Jul 2019 15:00"</f>
        <v>30 Jul 2019 15:00</v>
      </c>
      <c r="X29" t="str">
        <f>"30 Jul 2019 23:00"</f>
        <v>30 Jul 2019 23:00</v>
      </c>
      <c r="Y29" t="str">
        <f>"30 Jul 2019 17:00"</f>
        <v>30 Jul 2019 17:00</v>
      </c>
      <c r="Z29" t="str">
        <f>"31 Jul 2019 03:00"</f>
        <v>31 Jul 2019 03:00</v>
      </c>
      <c r="AA29" t="str">
        <f>"4h"</f>
        <v>4h</v>
      </c>
      <c r="AB29" t="str">
        <f t="shared" si="3"/>
        <v>NN</v>
      </c>
      <c r="AC29" t="str">
        <f t="shared" si="28"/>
        <v>AA</v>
      </c>
      <c r="AD29" t="str">
        <f>"8"</f>
        <v>8</v>
      </c>
      <c r="AE29" t="str">
        <f>"10"</f>
        <v>10</v>
      </c>
      <c r="AF29" t="str">
        <f>"31 Jul 2019 15:00"</f>
        <v>31 Jul 2019 15:00</v>
      </c>
      <c r="AG29" t="str">
        <f>"31 Jul 2019 15:00"</f>
        <v>31 Jul 2019 15:00</v>
      </c>
      <c r="AH29" t="str">
        <f>"31 Jul 2019 15:00"</f>
        <v>31 Jul 2019 15:00</v>
      </c>
      <c r="AI29" t="str">
        <f>"31 Jul 2019 15:00"</f>
        <v>31 Jul 2019 15:00</v>
      </c>
      <c r="AJ29" t="str">
        <f>"31 Jul 2019 15:00"</f>
        <v>31 Jul 2019 15:00</v>
      </c>
      <c r="AK29" t="str">
        <f t="shared" si="29"/>
        <v>30 Jul 2019 17:00</v>
      </c>
      <c r="AL29" t="str">
        <f t="shared" si="29"/>
        <v>30 Jul 2019 17:00</v>
      </c>
      <c r="AM29" t="str">
        <f t="shared" si="29"/>
        <v>30 Jul 2019 17:00</v>
      </c>
      <c r="AN29" t="str">
        <f t="shared" si="29"/>
        <v>30 Jul 2019 17:00</v>
      </c>
      <c r="AO29" t="str">
        <f t="shared" si="29"/>
        <v>30 Jul 2019 17:00</v>
      </c>
      <c r="AP29" t="str">
        <f>""</f>
        <v/>
      </c>
      <c r="AQ29" t="str">
        <f>"31 Jul 2019 02:00"</f>
        <v>31 Jul 2019 02:00</v>
      </c>
      <c r="AR29" t="str">
        <f t="shared" si="19"/>
        <v>Y</v>
      </c>
      <c r="AS29" t="str">
        <f t="shared" si="19"/>
        <v>Y</v>
      </c>
      <c r="AT29" t="str">
        <f t="shared" si="19"/>
        <v>Y</v>
      </c>
      <c r="AU29" t="str">
        <f t="shared" si="24"/>
        <v>N</v>
      </c>
      <c r="AV29" t="str">
        <f t="shared" si="24"/>
        <v>N</v>
      </c>
      <c r="AW29" t="str">
        <f>""</f>
        <v/>
      </c>
      <c r="AX29" t="str">
        <f t="shared" si="6"/>
        <v>No</v>
      </c>
      <c r="AY29" t="str">
        <f>""</f>
        <v/>
      </c>
      <c r="AZ29" t="s">
        <v>12</v>
      </c>
      <c r="BA29" t="s">
        <v>110</v>
      </c>
      <c r="BB29" t="s">
        <v>110</v>
      </c>
    </row>
    <row r="30" spans="1:54">
      <c r="A30" s="7" t="str">
        <f t="shared" si="7"/>
        <v>PHKG9WI056N</v>
      </c>
      <c r="B30" s="8" t="e">
        <f t="shared" si="8"/>
        <v>#VALUE!</v>
      </c>
      <c r="C30" t="str">
        <f t="shared" si="23"/>
        <v>PHKG</v>
      </c>
      <c r="D30" t="str">
        <f>"9WI"</f>
        <v>9WI</v>
      </c>
      <c r="E30" t="str">
        <f>"YUE YANG 138"</f>
        <v>YUE YANG 138</v>
      </c>
      <c r="F30" t="str">
        <f>""</f>
        <v/>
      </c>
      <c r="G30" t="str">
        <f t="shared" si="0"/>
        <v>OOCL</v>
      </c>
      <c r="H30" t="str">
        <f>""</f>
        <v/>
      </c>
      <c r="I30" t="str">
        <f>"056"</f>
        <v>056</v>
      </c>
      <c r="J30" t="str">
        <f t="shared" si="22"/>
        <v>S</v>
      </c>
      <c r="K30" t="str">
        <f>"2"</f>
        <v>2</v>
      </c>
      <c r="L30" t="str">
        <f t="shared" si="25"/>
        <v>HKG02</v>
      </c>
      <c r="M30" t="str">
        <f t="shared" si="26"/>
        <v>HIT - Hongkong International Terminals</v>
      </c>
      <c r="N30" t="str">
        <f t="shared" si="1"/>
        <v>HKG</v>
      </c>
      <c r="O30" t="str">
        <f t="shared" si="27"/>
        <v>1</v>
      </c>
      <c r="P30" t="str">
        <f>""</f>
        <v/>
      </c>
      <c r="Q30" t="str">
        <f>"056S"</f>
        <v>056S</v>
      </c>
      <c r="R30" t="str">
        <f>"056N"</f>
        <v>056N</v>
      </c>
      <c r="S30" t="str">
        <f>""</f>
        <v/>
      </c>
      <c r="T30" t="str">
        <f>"30 Jul 2019 09:00"</f>
        <v>30 Jul 2019 09:00</v>
      </c>
      <c r="U30" t="str">
        <f>"30 Jul 2019 18:00"</f>
        <v>30 Jul 2019 18:00</v>
      </c>
      <c r="V30" t="str">
        <f>"9h"</f>
        <v>9h</v>
      </c>
      <c r="W30" t="str">
        <f>"30 Jul 2019 09:00"</f>
        <v>30 Jul 2019 09:00</v>
      </c>
      <c r="X30" t="str">
        <f>"30 Jul 2019 19:22"</f>
        <v>30 Jul 2019 19:22</v>
      </c>
      <c r="Y30" t="str">
        <f>"30 Jul 2019 18:00"</f>
        <v>30 Jul 2019 18:00</v>
      </c>
      <c r="Z30" t="str">
        <f>"31 Jul 2019 02:07"</f>
        <v>31 Jul 2019 02:07</v>
      </c>
      <c r="AA30" t="str">
        <f>"6h 45m"</f>
        <v>6h 45m</v>
      </c>
      <c r="AB30" t="str">
        <f t="shared" si="3"/>
        <v>NN</v>
      </c>
      <c r="AC30" t="str">
        <f t="shared" si="28"/>
        <v>AA</v>
      </c>
      <c r="AD30" t="str">
        <f>"10"</f>
        <v>10</v>
      </c>
      <c r="AE30" t="str">
        <f>"8"</f>
        <v>8</v>
      </c>
      <c r="AF30" t="str">
        <f t="shared" ref="AF30:AJ31" si="30">"01 Aug 2019 09:00"</f>
        <v>01 Aug 2019 09:00</v>
      </c>
      <c r="AG30" t="str">
        <f t="shared" si="30"/>
        <v>01 Aug 2019 09:00</v>
      </c>
      <c r="AH30" t="str">
        <f t="shared" si="30"/>
        <v>01 Aug 2019 09:00</v>
      </c>
      <c r="AI30" t="str">
        <f t="shared" si="30"/>
        <v>01 Aug 2019 09:00</v>
      </c>
      <c r="AJ30" t="str">
        <f t="shared" si="30"/>
        <v>01 Aug 2019 09:00</v>
      </c>
      <c r="AK30" t="str">
        <f t="shared" ref="AK30:AO31" si="31">"25 Jul 2019 00:00"</f>
        <v>25 Jul 2019 00:00</v>
      </c>
      <c r="AL30" t="str">
        <f t="shared" si="31"/>
        <v>25 Jul 2019 00:00</v>
      </c>
      <c r="AM30" t="str">
        <f t="shared" si="31"/>
        <v>25 Jul 2019 00:00</v>
      </c>
      <c r="AN30" t="str">
        <f t="shared" si="31"/>
        <v>25 Jul 2019 00:00</v>
      </c>
      <c r="AO30" t="str">
        <f t="shared" si="31"/>
        <v>25 Jul 2019 00:00</v>
      </c>
      <c r="AP30" t="str">
        <f>""</f>
        <v/>
      </c>
      <c r="AQ30" t="str">
        <f>"31 Jul 2019 02:07"</f>
        <v>31 Jul 2019 02:07</v>
      </c>
      <c r="AR30" t="str">
        <f t="shared" si="19"/>
        <v>Y</v>
      </c>
      <c r="AS30" t="str">
        <f t="shared" si="19"/>
        <v>Y</v>
      </c>
      <c r="AT30" t="str">
        <f t="shared" si="19"/>
        <v>Y</v>
      </c>
      <c r="AU30" t="str">
        <f t="shared" si="24"/>
        <v>N</v>
      </c>
      <c r="AV30" t="str">
        <f t="shared" si="24"/>
        <v>N</v>
      </c>
      <c r="AW30" t="str">
        <f>""</f>
        <v/>
      </c>
      <c r="AX30" t="str">
        <f t="shared" si="6"/>
        <v>No</v>
      </c>
      <c r="AY30" t="str">
        <f>""</f>
        <v/>
      </c>
      <c r="AZ30" t="s">
        <v>12</v>
      </c>
      <c r="BA30" t="s">
        <v>115</v>
      </c>
      <c r="BB30" t="s">
        <v>110</v>
      </c>
    </row>
    <row r="31" spans="1:54">
      <c r="A31" s="7" t="str">
        <f t="shared" si="7"/>
        <v>PHKG9WI056N</v>
      </c>
      <c r="B31" s="8" t="e">
        <f t="shared" si="8"/>
        <v>#VALUE!</v>
      </c>
      <c r="C31" t="str">
        <f t="shared" si="23"/>
        <v>PHKG</v>
      </c>
      <c r="D31" t="str">
        <f>"9WI"</f>
        <v>9WI</v>
      </c>
      <c r="E31" t="str">
        <f>"YUE YANG 138"</f>
        <v>YUE YANG 138</v>
      </c>
      <c r="F31" t="str">
        <f>""</f>
        <v/>
      </c>
      <c r="G31" t="str">
        <f t="shared" si="0"/>
        <v>OOCL</v>
      </c>
      <c r="H31" t="str">
        <f>""</f>
        <v/>
      </c>
      <c r="I31" t="str">
        <f>"056"</f>
        <v>056</v>
      </c>
      <c r="J31" t="str">
        <f>"N"</f>
        <v>N</v>
      </c>
      <c r="K31" t="str">
        <f>"1"</f>
        <v>1</v>
      </c>
      <c r="L31" t="str">
        <f t="shared" si="25"/>
        <v>HKG02</v>
      </c>
      <c r="M31" t="str">
        <f t="shared" si="26"/>
        <v>HIT - Hongkong International Terminals</v>
      </c>
      <c r="N31" t="str">
        <f t="shared" si="1"/>
        <v>HKG</v>
      </c>
      <c r="O31" t="str">
        <f t="shared" si="27"/>
        <v>1</v>
      </c>
      <c r="P31" t="str">
        <f>""</f>
        <v/>
      </c>
      <c r="Q31" t="str">
        <f>"056S"</f>
        <v>056S</v>
      </c>
      <c r="R31" t="str">
        <f>"056N"</f>
        <v>056N</v>
      </c>
      <c r="S31" t="str">
        <f>""</f>
        <v/>
      </c>
      <c r="T31" t="str">
        <f>"30 Jul 2019 09:00"</f>
        <v>30 Jul 2019 09:00</v>
      </c>
      <c r="U31" t="str">
        <f>"30 Jul 2019 18:00"</f>
        <v>30 Jul 2019 18:00</v>
      </c>
      <c r="V31" t="str">
        <f>"9h"</f>
        <v>9h</v>
      </c>
      <c r="W31" t="str">
        <f>"30 Jul 2019 09:00"</f>
        <v>30 Jul 2019 09:00</v>
      </c>
      <c r="X31" t="str">
        <f>"30 Jul 2019 19:22"</f>
        <v>30 Jul 2019 19:22</v>
      </c>
      <c r="Y31" t="str">
        <f>"30 Jul 2019 18:00"</f>
        <v>30 Jul 2019 18:00</v>
      </c>
      <c r="Z31" t="str">
        <f>"31 Jul 2019 02:07"</f>
        <v>31 Jul 2019 02:07</v>
      </c>
      <c r="AA31" t="str">
        <f>"6h 45m"</f>
        <v>6h 45m</v>
      </c>
      <c r="AB31" t="str">
        <f t="shared" si="3"/>
        <v>NN</v>
      </c>
      <c r="AC31" t="str">
        <f t="shared" si="28"/>
        <v>AA</v>
      </c>
      <c r="AD31" t="str">
        <f>"10"</f>
        <v>10</v>
      </c>
      <c r="AE31" t="str">
        <f>"8"</f>
        <v>8</v>
      </c>
      <c r="AF31" t="str">
        <f t="shared" si="30"/>
        <v>01 Aug 2019 09:00</v>
      </c>
      <c r="AG31" t="str">
        <f t="shared" si="30"/>
        <v>01 Aug 2019 09:00</v>
      </c>
      <c r="AH31" t="str">
        <f t="shared" si="30"/>
        <v>01 Aug 2019 09:00</v>
      </c>
      <c r="AI31" t="str">
        <f t="shared" si="30"/>
        <v>01 Aug 2019 09:00</v>
      </c>
      <c r="AJ31" t="str">
        <f t="shared" si="30"/>
        <v>01 Aug 2019 09:00</v>
      </c>
      <c r="AK31" t="str">
        <f t="shared" si="31"/>
        <v>25 Jul 2019 00:00</v>
      </c>
      <c r="AL31" t="str">
        <f t="shared" si="31"/>
        <v>25 Jul 2019 00:00</v>
      </c>
      <c r="AM31" t="str">
        <f t="shared" si="31"/>
        <v>25 Jul 2019 00:00</v>
      </c>
      <c r="AN31" t="str">
        <f t="shared" si="31"/>
        <v>25 Jul 2019 00:00</v>
      </c>
      <c r="AO31" t="str">
        <f t="shared" si="31"/>
        <v>25 Jul 2019 00:00</v>
      </c>
      <c r="AP31" t="str">
        <f>""</f>
        <v/>
      </c>
      <c r="AQ31" t="str">
        <f>"31 Jul 2019 02:07"</f>
        <v>31 Jul 2019 02:07</v>
      </c>
      <c r="AR31" t="str">
        <f t="shared" si="19"/>
        <v>Y</v>
      </c>
      <c r="AS31" t="str">
        <f t="shared" si="19"/>
        <v>Y</v>
      </c>
      <c r="AT31" t="str">
        <f t="shared" si="19"/>
        <v>Y</v>
      </c>
      <c r="AU31" t="str">
        <f t="shared" si="24"/>
        <v>N</v>
      </c>
      <c r="AV31" t="str">
        <f t="shared" si="24"/>
        <v>N</v>
      </c>
      <c r="AW31" t="str">
        <f>""</f>
        <v/>
      </c>
      <c r="AX31" t="str">
        <f t="shared" si="6"/>
        <v>No</v>
      </c>
      <c r="AY31" t="str">
        <f>""</f>
        <v/>
      </c>
      <c r="AZ31" t="s">
        <v>12</v>
      </c>
      <c r="BA31" t="s">
        <v>110</v>
      </c>
      <c r="BB31" t="s">
        <v>121</v>
      </c>
    </row>
    <row r="32" spans="1:54">
      <c r="A32" s="7" t="str">
        <f t="shared" si="7"/>
        <v>PHKG5GW149S</v>
      </c>
      <c r="B32" s="8" t="e">
        <f t="shared" si="8"/>
        <v>#VALUE!</v>
      </c>
      <c r="C32" t="str">
        <f t="shared" si="23"/>
        <v>PHKG</v>
      </c>
      <c r="D32" t="str">
        <f>"5GW"</f>
        <v>5GW</v>
      </c>
      <c r="E32" t="str">
        <f>"JIN LONG 89"</f>
        <v>JIN LONG 89</v>
      </c>
      <c r="F32" t="str">
        <f>""</f>
        <v/>
      </c>
      <c r="G32" t="str">
        <f t="shared" si="0"/>
        <v>OOCL</v>
      </c>
      <c r="H32" t="str">
        <f>""</f>
        <v/>
      </c>
      <c r="I32" t="str">
        <f>"149"</f>
        <v>149</v>
      </c>
      <c r="J32" t="str">
        <f>"S"</f>
        <v>S</v>
      </c>
      <c r="K32" t="str">
        <f>"2"</f>
        <v>2</v>
      </c>
      <c r="L32" t="str">
        <f t="shared" si="25"/>
        <v>HKG02</v>
      </c>
      <c r="M32" t="str">
        <f t="shared" si="26"/>
        <v>HIT - Hongkong International Terminals</v>
      </c>
      <c r="N32" t="str">
        <f t="shared" si="1"/>
        <v>HKG</v>
      </c>
      <c r="O32" t="str">
        <f t="shared" si="27"/>
        <v>1</v>
      </c>
      <c r="P32" t="str">
        <f>""</f>
        <v/>
      </c>
      <c r="Q32" t="str">
        <f>"149S"</f>
        <v>149S</v>
      </c>
      <c r="R32" t="str">
        <f>"149S"</f>
        <v>149S</v>
      </c>
      <c r="S32" t="str">
        <f>""</f>
        <v/>
      </c>
      <c r="T32" t="str">
        <f>"30 Jul 2019 02:00"</f>
        <v>30 Jul 2019 02:00</v>
      </c>
      <c r="U32" t="str">
        <f>"30 Jul 2019 03:00"</f>
        <v>30 Jul 2019 03:00</v>
      </c>
      <c r="V32" t="str">
        <f>"1h"</f>
        <v>1h</v>
      </c>
      <c r="W32" t="str">
        <f>"30 Jul 2019 02:00"</f>
        <v>30 Jul 2019 02:00</v>
      </c>
      <c r="X32" t="str">
        <f>"30 Jul 2019 16:40"</f>
        <v>30 Jul 2019 16:40</v>
      </c>
      <c r="Y32" t="str">
        <f>"30 Jul 2019 18:40"</f>
        <v>30 Jul 2019 18:40</v>
      </c>
      <c r="Z32" t="str">
        <f>"31 Jul 2019 06:28"</f>
        <v>31 Jul 2019 06:28</v>
      </c>
      <c r="AA32" t="str">
        <f>"13h 48m"</f>
        <v>13h 48m</v>
      </c>
      <c r="AB32" t="str">
        <f t="shared" si="3"/>
        <v>NN</v>
      </c>
      <c r="AC32" t="str">
        <f t="shared" si="28"/>
        <v>AA</v>
      </c>
      <c r="AD32" t="str">
        <f>"15"</f>
        <v>15</v>
      </c>
      <c r="AE32" t="str">
        <f>"27"</f>
        <v>27</v>
      </c>
      <c r="AF32" t="str">
        <f>"30 Jul 2019 23:00"</f>
        <v>30 Jul 2019 23:00</v>
      </c>
      <c r="AG32" t="str">
        <f>"30 Jul 2019 23:00"</f>
        <v>30 Jul 2019 23:00</v>
      </c>
      <c r="AH32" t="str">
        <f>"30 Jul 2019 23:00"</f>
        <v>30 Jul 2019 23:00</v>
      </c>
      <c r="AI32" t="str">
        <f>"30 Jul 2019 23:00"</f>
        <v>30 Jul 2019 23:00</v>
      </c>
      <c r="AJ32" t="str">
        <f>"30 Jul 2019 23:00"</f>
        <v>30 Jul 2019 23:00</v>
      </c>
      <c r="AK32" t="str">
        <f>"30 Jul 2019 03:00"</f>
        <v>30 Jul 2019 03:00</v>
      </c>
      <c r="AL32" t="str">
        <f>"30 Jul 2019 03:00"</f>
        <v>30 Jul 2019 03:00</v>
      </c>
      <c r="AM32" t="str">
        <f>"30 Jul 2019 03:00"</f>
        <v>30 Jul 2019 03:00</v>
      </c>
      <c r="AN32" t="str">
        <f>"30 Jul 2019 03:00"</f>
        <v>30 Jul 2019 03:00</v>
      </c>
      <c r="AO32" t="str">
        <f>"30 Jul 2019 03:00"</f>
        <v>30 Jul 2019 03:00</v>
      </c>
      <c r="AP32" t="str">
        <f>""</f>
        <v/>
      </c>
      <c r="AQ32" t="str">
        <f>"31 Jul 2019 02:10"</f>
        <v>31 Jul 2019 02:10</v>
      </c>
      <c r="AR32" t="str">
        <f t="shared" si="19"/>
        <v>Y</v>
      </c>
      <c r="AS32" t="str">
        <f t="shared" si="19"/>
        <v>Y</v>
      </c>
      <c r="AT32" t="str">
        <f t="shared" si="19"/>
        <v>Y</v>
      </c>
      <c r="AU32" t="str">
        <f t="shared" si="24"/>
        <v>N</v>
      </c>
      <c r="AV32" t="str">
        <f t="shared" si="24"/>
        <v>N</v>
      </c>
      <c r="AW32" t="str">
        <f>""</f>
        <v/>
      </c>
      <c r="AX32" t="str">
        <f t="shared" si="6"/>
        <v>No</v>
      </c>
      <c r="AY32" t="str">
        <f>""</f>
        <v/>
      </c>
      <c r="AZ32" t="s">
        <v>12</v>
      </c>
      <c r="BA32" t="s">
        <v>110</v>
      </c>
      <c r="BB32" t="s">
        <v>110</v>
      </c>
    </row>
    <row r="33" spans="1:54">
      <c r="A33" s="7" t="str">
        <f t="shared" si="7"/>
        <v>PHKG7DN133S</v>
      </c>
      <c r="B33" s="8" t="e">
        <f t="shared" si="8"/>
        <v>#VALUE!</v>
      </c>
      <c r="C33" t="str">
        <f t="shared" si="23"/>
        <v>PHKG</v>
      </c>
      <c r="D33" t="str">
        <f>"7DN"</f>
        <v>7DN</v>
      </c>
      <c r="E33" t="str">
        <f>"XIANG FU 18"</f>
        <v>XIANG FU 18</v>
      </c>
      <c r="F33" t="str">
        <f>""</f>
        <v/>
      </c>
      <c r="G33" t="str">
        <f t="shared" si="0"/>
        <v>OOCL</v>
      </c>
      <c r="H33" t="str">
        <f>""</f>
        <v/>
      </c>
      <c r="I33" t="str">
        <f>"133"</f>
        <v>133</v>
      </c>
      <c r="J33" t="str">
        <f>"S"</f>
        <v>S</v>
      </c>
      <c r="K33" t="str">
        <f>"2"</f>
        <v>2</v>
      </c>
      <c r="L33" t="str">
        <f t="shared" si="25"/>
        <v>HKG02</v>
      </c>
      <c r="M33" t="str">
        <f t="shared" si="26"/>
        <v>HIT - Hongkong International Terminals</v>
      </c>
      <c r="N33" t="str">
        <f t="shared" si="1"/>
        <v>HKG</v>
      </c>
      <c r="O33" t="str">
        <f t="shared" si="27"/>
        <v>1</v>
      </c>
      <c r="P33" t="str">
        <f>""</f>
        <v/>
      </c>
      <c r="Q33" t="str">
        <f>"133S"</f>
        <v>133S</v>
      </c>
      <c r="R33" t="str">
        <f>"133S"</f>
        <v>133S</v>
      </c>
      <c r="S33" t="str">
        <f>""</f>
        <v/>
      </c>
      <c r="T33" t="str">
        <f>"30 Jul 2019 20:00"</f>
        <v>30 Jul 2019 20:00</v>
      </c>
      <c r="U33" t="str">
        <f>"30 Jul 2019 22:00"</f>
        <v>30 Jul 2019 22:00</v>
      </c>
      <c r="V33" t="str">
        <f>"2h"</f>
        <v>2h</v>
      </c>
      <c r="W33" t="str">
        <f>"30 Jul 2019 20:00"</f>
        <v>30 Jul 2019 20:00</v>
      </c>
      <c r="X33" t="str">
        <f>"30 Jul 2019 18:37"</f>
        <v>30 Jul 2019 18:37</v>
      </c>
      <c r="Y33" t="str">
        <f>"30 Jul 2019 22:00"</f>
        <v>30 Jul 2019 22:00</v>
      </c>
      <c r="Z33" t="str">
        <f>"31 Jul 2019 03:41"</f>
        <v>31 Jul 2019 03:41</v>
      </c>
      <c r="AA33" t="str">
        <f>"9h 4m"</f>
        <v>9h 4m</v>
      </c>
      <c r="AB33" t="str">
        <f t="shared" si="3"/>
        <v>NN</v>
      </c>
      <c r="AC33" t="str">
        <f t="shared" si="28"/>
        <v>AA</v>
      </c>
      <c r="AD33" t="str">
        <f>"-1"</f>
        <v>-1</v>
      </c>
      <c r="AE33" t="str">
        <f>"6"</f>
        <v>6</v>
      </c>
      <c r="AF33" t="str">
        <f>"30 Jul 2019 20:06"</f>
        <v>30 Jul 2019 20:06</v>
      </c>
      <c r="AG33" t="str">
        <f>"30 Jul 2019 20:06"</f>
        <v>30 Jul 2019 20:06</v>
      </c>
      <c r="AH33" t="str">
        <f>"30 Jul 2019 20:06"</f>
        <v>30 Jul 2019 20:06</v>
      </c>
      <c r="AI33" t="str">
        <f>"30 Jul 2019 20:06"</f>
        <v>30 Jul 2019 20:06</v>
      </c>
      <c r="AJ33" t="str">
        <f>"30 Jul 2019 20:06"</f>
        <v>30 Jul 2019 20:06</v>
      </c>
      <c r="AK33" t="str">
        <f>"30 Jul 2019 22:00"</f>
        <v>30 Jul 2019 22:00</v>
      </c>
      <c r="AL33" t="str">
        <f>"30 Jul 2019 22:00"</f>
        <v>30 Jul 2019 22:00</v>
      </c>
      <c r="AM33" t="str">
        <f>"30 Jul 2019 22:00"</f>
        <v>30 Jul 2019 22:00</v>
      </c>
      <c r="AN33" t="str">
        <f>"30 Jul 2019 22:00"</f>
        <v>30 Jul 2019 22:00</v>
      </c>
      <c r="AO33" t="str">
        <f>"30 Jul 2019 22:00"</f>
        <v>30 Jul 2019 22:00</v>
      </c>
      <c r="AP33" t="str">
        <f>""</f>
        <v/>
      </c>
      <c r="AQ33" t="str">
        <f>"30 Jul 2019 20:06"</f>
        <v>30 Jul 2019 20:06</v>
      </c>
      <c r="AR33" t="str">
        <f t="shared" si="19"/>
        <v>Y</v>
      </c>
      <c r="AS33" t="str">
        <f t="shared" si="19"/>
        <v>Y</v>
      </c>
      <c r="AT33" t="str">
        <f t="shared" si="19"/>
        <v>Y</v>
      </c>
      <c r="AU33" t="str">
        <f t="shared" si="24"/>
        <v>N</v>
      </c>
      <c r="AV33" t="str">
        <f t="shared" si="24"/>
        <v>N</v>
      </c>
      <c r="AW33" t="str">
        <f>""</f>
        <v/>
      </c>
      <c r="AX33" t="str">
        <f t="shared" si="6"/>
        <v>No</v>
      </c>
      <c r="AY33" t="str">
        <f>""</f>
        <v/>
      </c>
      <c r="AZ33" t="s">
        <v>12</v>
      </c>
      <c r="BA33" t="s">
        <v>110</v>
      </c>
      <c r="BB33" t="s">
        <v>110</v>
      </c>
    </row>
    <row r="34" spans="1:54">
      <c r="A34" s="7" t="str">
        <f t="shared" si="7"/>
        <v>PHKG6HW604N</v>
      </c>
      <c r="B34" s="8">
        <f t="shared" si="8"/>
        <v>43675.958333333336</v>
      </c>
      <c r="C34" t="str">
        <f t="shared" si="23"/>
        <v>PHKG</v>
      </c>
      <c r="D34" t="str">
        <f>"6HW"</f>
        <v>6HW</v>
      </c>
      <c r="E34" t="str">
        <f>"GUAN HANG 371"</f>
        <v>GUAN HANG 371</v>
      </c>
      <c r="F34" t="str">
        <f>""</f>
        <v/>
      </c>
      <c r="G34" t="str">
        <f t="shared" si="0"/>
        <v>OOCL</v>
      </c>
      <c r="H34" t="str">
        <f>""</f>
        <v/>
      </c>
      <c r="I34" t="str">
        <f>"603"</f>
        <v>603</v>
      </c>
      <c r="J34" t="str">
        <f>"S"</f>
        <v>S</v>
      </c>
      <c r="K34" t="str">
        <f>"2"</f>
        <v>2</v>
      </c>
      <c r="L34" t="str">
        <f t="shared" si="25"/>
        <v>HKG02</v>
      </c>
      <c r="M34" t="str">
        <f t="shared" si="26"/>
        <v>HIT - Hongkong International Terminals</v>
      </c>
      <c r="N34" t="str">
        <f t="shared" si="1"/>
        <v>HKG</v>
      </c>
      <c r="O34" t="str">
        <f t="shared" si="27"/>
        <v>1</v>
      </c>
      <c r="P34" t="str">
        <f>""</f>
        <v/>
      </c>
      <c r="Q34" t="str">
        <f>"603S"</f>
        <v>603S</v>
      </c>
      <c r="R34" t="str">
        <f>"604N"</f>
        <v>604N</v>
      </c>
      <c r="S34" t="str">
        <f>""</f>
        <v/>
      </c>
      <c r="T34" t="str">
        <f>"27 Jul 2019 13:00"</f>
        <v>27 Jul 2019 13:00</v>
      </c>
      <c r="U34" t="str">
        <f>"30 Jul 2019 23:00"</f>
        <v>30 Jul 2019 23:00</v>
      </c>
      <c r="V34" t="str">
        <f>"82h"</f>
        <v>82h</v>
      </c>
      <c r="W34" t="str">
        <f>"27 Jul 2019 13:00"</f>
        <v>27 Jul 2019 13:00</v>
      </c>
      <c r="X34" t="str">
        <f>"27 Jul 2019 23:00"</f>
        <v>27 Jul 2019 23:00</v>
      </c>
      <c r="Y34" t="str">
        <f>"30 Jul 2019 23:00"</f>
        <v>30 Jul 2019 23:00</v>
      </c>
      <c r="Z34" t="str">
        <f>"31 Jul 2019 02:47"</f>
        <v>31 Jul 2019 02:47</v>
      </c>
      <c r="AA34" t="str">
        <f>"75h 47m"</f>
        <v>75h 47m</v>
      </c>
      <c r="AB34" t="str">
        <f t="shared" si="3"/>
        <v>NN</v>
      </c>
      <c r="AC34" t="str">
        <f t="shared" si="28"/>
        <v>AA</v>
      </c>
      <c r="AD34" t="str">
        <f>"10"</f>
        <v>10</v>
      </c>
      <c r="AE34" t="str">
        <f>"4"</f>
        <v>4</v>
      </c>
      <c r="AF34" t="str">
        <f t="shared" ref="AF34:AJ35" si="32">"28 Jul 2019 13:30"</f>
        <v>28 Jul 2019 13:30</v>
      </c>
      <c r="AG34" t="str">
        <f t="shared" si="32"/>
        <v>28 Jul 2019 13:30</v>
      </c>
      <c r="AH34" t="str">
        <f t="shared" si="32"/>
        <v>28 Jul 2019 13:30</v>
      </c>
      <c r="AI34" t="str">
        <f t="shared" si="32"/>
        <v>28 Jul 2019 13:30</v>
      </c>
      <c r="AJ34" t="str">
        <f t="shared" si="32"/>
        <v>28 Jul 2019 13:30</v>
      </c>
      <c r="AK34" t="str">
        <f t="shared" ref="AK34:AP35" si="33">"29 Jul 2019 23:00"</f>
        <v>29 Jul 2019 23:00</v>
      </c>
      <c r="AL34" t="str">
        <f t="shared" si="33"/>
        <v>29 Jul 2019 23:00</v>
      </c>
      <c r="AM34" t="str">
        <f t="shared" si="33"/>
        <v>29 Jul 2019 23:00</v>
      </c>
      <c r="AN34" t="str">
        <f t="shared" si="33"/>
        <v>29 Jul 2019 23:00</v>
      </c>
      <c r="AO34" t="str">
        <f t="shared" si="33"/>
        <v>29 Jul 2019 23:00</v>
      </c>
      <c r="AP34" t="str">
        <f t="shared" si="33"/>
        <v>29 Jul 2019 23:00</v>
      </c>
      <c r="AQ34" t="str">
        <f>"28 Jul 2019 03:00"</f>
        <v>28 Jul 2019 03:00</v>
      </c>
      <c r="AR34" t="str">
        <f t="shared" si="19"/>
        <v>Y</v>
      </c>
      <c r="AS34" t="str">
        <f t="shared" si="19"/>
        <v>Y</v>
      </c>
      <c r="AT34" t="str">
        <f t="shared" si="19"/>
        <v>Y</v>
      </c>
      <c r="AU34" t="str">
        <f t="shared" si="24"/>
        <v>N</v>
      </c>
      <c r="AV34" t="str">
        <f t="shared" si="24"/>
        <v>N</v>
      </c>
      <c r="AW34" t="str">
        <f>""</f>
        <v/>
      </c>
      <c r="AX34" t="str">
        <f t="shared" si="6"/>
        <v>No</v>
      </c>
      <c r="AY34" t="str">
        <f>""</f>
        <v/>
      </c>
      <c r="AZ34" t="s">
        <v>12</v>
      </c>
      <c r="BA34" t="s">
        <v>110</v>
      </c>
      <c r="BB34" t="s">
        <v>110</v>
      </c>
    </row>
    <row r="35" spans="1:54">
      <c r="A35" s="7" t="str">
        <f t="shared" si="7"/>
        <v>PHKG6HW604N</v>
      </c>
      <c r="B35" s="8">
        <f t="shared" si="8"/>
        <v>43675.958333333336</v>
      </c>
      <c r="C35" t="str">
        <f t="shared" si="23"/>
        <v>PHKG</v>
      </c>
      <c r="D35" t="str">
        <f>"6HW"</f>
        <v>6HW</v>
      </c>
      <c r="E35" t="str">
        <f>"GUAN HANG 371"</f>
        <v>GUAN HANG 371</v>
      </c>
      <c r="F35" t="str">
        <f>""</f>
        <v/>
      </c>
      <c r="G35" t="str">
        <f t="shared" si="0"/>
        <v>OOCL</v>
      </c>
      <c r="H35" t="str">
        <f>""</f>
        <v/>
      </c>
      <c r="I35" t="str">
        <f>"604"</f>
        <v>604</v>
      </c>
      <c r="J35" t="str">
        <f>"N"</f>
        <v>N</v>
      </c>
      <c r="K35" t="str">
        <f>"1"</f>
        <v>1</v>
      </c>
      <c r="L35" t="str">
        <f t="shared" si="25"/>
        <v>HKG02</v>
      </c>
      <c r="M35" t="str">
        <f t="shared" si="26"/>
        <v>HIT - Hongkong International Terminals</v>
      </c>
      <c r="N35" t="str">
        <f t="shared" si="1"/>
        <v>HKG</v>
      </c>
      <c r="O35" t="str">
        <f t="shared" si="27"/>
        <v>1</v>
      </c>
      <c r="P35" t="str">
        <f>""</f>
        <v/>
      </c>
      <c r="Q35" t="str">
        <f>"603S"</f>
        <v>603S</v>
      </c>
      <c r="R35" t="str">
        <f>"604N"</f>
        <v>604N</v>
      </c>
      <c r="S35" t="str">
        <f>""</f>
        <v/>
      </c>
      <c r="T35" t="str">
        <f>"27 Jul 2019 13:00"</f>
        <v>27 Jul 2019 13:00</v>
      </c>
      <c r="U35" t="str">
        <f>"30 Jul 2019 23:00"</f>
        <v>30 Jul 2019 23:00</v>
      </c>
      <c r="V35" t="str">
        <f>"82h"</f>
        <v>82h</v>
      </c>
      <c r="W35" t="str">
        <f>"27 Jul 2019 13:00"</f>
        <v>27 Jul 2019 13:00</v>
      </c>
      <c r="X35" t="str">
        <f>"27 Jul 2019 23:00"</f>
        <v>27 Jul 2019 23:00</v>
      </c>
      <c r="Y35" t="str">
        <f>"30 Jul 2019 23:00"</f>
        <v>30 Jul 2019 23:00</v>
      </c>
      <c r="Z35" t="str">
        <f>"31 Jul 2019 02:47"</f>
        <v>31 Jul 2019 02:47</v>
      </c>
      <c r="AA35" t="str">
        <f>"75h 47m"</f>
        <v>75h 47m</v>
      </c>
      <c r="AB35" t="str">
        <f t="shared" si="3"/>
        <v>NN</v>
      </c>
      <c r="AC35" t="str">
        <f t="shared" si="28"/>
        <v>AA</v>
      </c>
      <c r="AD35" t="str">
        <f>"10"</f>
        <v>10</v>
      </c>
      <c r="AE35" t="str">
        <f>"4"</f>
        <v>4</v>
      </c>
      <c r="AF35" t="str">
        <f t="shared" si="32"/>
        <v>28 Jul 2019 13:30</v>
      </c>
      <c r="AG35" t="str">
        <f t="shared" si="32"/>
        <v>28 Jul 2019 13:30</v>
      </c>
      <c r="AH35" t="str">
        <f t="shared" si="32"/>
        <v>28 Jul 2019 13:30</v>
      </c>
      <c r="AI35" t="str">
        <f t="shared" si="32"/>
        <v>28 Jul 2019 13:30</v>
      </c>
      <c r="AJ35" t="str">
        <f t="shared" si="32"/>
        <v>28 Jul 2019 13:30</v>
      </c>
      <c r="AK35" t="str">
        <f t="shared" si="33"/>
        <v>29 Jul 2019 23:00</v>
      </c>
      <c r="AL35" t="str">
        <f t="shared" si="33"/>
        <v>29 Jul 2019 23:00</v>
      </c>
      <c r="AM35" t="str">
        <f t="shared" si="33"/>
        <v>29 Jul 2019 23:00</v>
      </c>
      <c r="AN35" t="str">
        <f t="shared" si="33"/>
        <v>29 Jul 2019 23:00</v>
      </c>
      <c r="AO35" t="str">
        <f t="shared" si="33"/>
        <v>29 Jul 2019 23:00</v>
      </c>
      <c r="AP35" t="str">
        <f t="shared" si="33"/>
        <v>29 Jul 2019 23:00</v>
      </c>
      <c r="AQ35" t="str">
        <f>"28 Jul 2019 03:00"</f>
        <v>28 Jul 2019 03:00</v>
      </c>
      <c r="AR35" t="str">
        <f t="shared" si="19"/>
        <v>Y</v>
      </c>
      <c r="AS35" t="str">
        <f t="shared" si="19"/>
        <v>Y</v>
      </c>
      <c r="AT35" t="str">
        <f t="shared" si="19"/>
        <v>Y</v>
      </c>
      <c r="AU35" t="str">
        <f t="shared" si="24"/>
        <v>N</v>
      </c>
      <c r="AV35" t="str">
        <f t="shared" si="24"/>
        <v>N</v>
      </c>
      <c r="AW35" t="str">
        <f>""</f>
        <v/>
      </c>
      <c r="AX35" t="str">
        <f t="shared" si="6"/>
        <v>No</v>
      </c>
      <c r="AY35" t="str">
        <f>""</f>
        <v/>
      </c>
      <c r="AZ35" t="s">
        <v>12</v>
      </c>
      <c r="BA35" t="s">
        <v>110</v>
      </c>
      <c r="BB35" t="s">
        <v>110</v>
      </c>
    </row>
    <row r="36" spans="1:54">
      <c r="A36" s="7" t="str">
        <f t="shared" si="7"/>
        <v>PHKGXE4190730N</v>
      </c>
      <c r="B36" s="8">
        <f t="shared" si="8"/>
        <v>43676.5</v>
      </c>
      <c r="C36" t="str">
        <f t="shared" si="23"/>
        <v>PHKG</v>
      </c>
      <c r="D36" t="str">
        <f>"XE4"</f>
        <v>XE4</v>
      </c>
      <c r="E36" t="str">
        <f>"GONG PING"</f>
        <v>GONG PING</v>
      </c>
      <c r="F36" t="str">
        <f>""</f>
        <v/>
      </c>
      <c r="G36" t="str">
        <f t="shared" si="0"/>
        <v>OOCL</v>
      </c>
      <c r="H36" t="str">
        <f>""</f>
        <v/>
      </c>
      <c r="I36" t="str">
        <f>"208"</f>
        <v>208</v>
      </c>
      <c r="J36" t="str">
        <f>"N"</f>
        <v>N</v>
      </c>
      <c r="K36" t="str">
        <f>"1"</f>
        <v>1</v>
      </c>
      <c r="L36" t="str">
        <f>"HKG13"</f>
        <v>HKG13</v>
      </c>
      <c r="M36" t="str">
        <f>"River Trade Terminal Co., Ltd"</f>
        <v>River Trade Terminal Co., Ltd</v>
      </c>
      <c r="N36" t="str">
        <f t="shared" si="1"/>
        <v>HKG</v>
      </c>
      <c r="O36" t="str">
        <f t="shared" si="27"/>
        <v>1</v>
      </c>
      <c r="P36" t="str">
        <f>""</f>
        <v/>
      </c>
      <c r="Q36" t="str">
        <f>"190730N"</f>
        <v>190730N</v>
      </c>
      <c r="R36" t="str">
        <f>"190730N"</f>
        <v>190730N</v>
      </c>
      <c r="S36" t="str">
        <f>""</f>
        <v/>
      </c>
      <c r="T36" t="str">
        <f>"30 Jul 2019 23:00"</f>
        <v>30 Jul 2019 23:00</v>
      </c>
      <c r="U36" t="str">
        <f>"31 Jul 2019 00:00"</f>
        <v>31 Jul 2019 00:00</v>
      </c>
      <c r="V36" t="str">
        <f>"1h"</f>
        <v>1h</v>
      </c>
      <c r="W36" t="str">
        <f>"30 Jul 2019 23:00"</f>
        <v>30 Jul 2019 23:00</v>
      </c>
      <c r="X36" t="str">
        <f>""</f>
        <v/>
      </c>
      <c r="Y36" t="str">
        <f>"31 Jul 2019 00:00"</f>
        <v>31 Jul 2019 00:00</v>
      </c>
      <c r="Z36" t="str">
        <f>""</f>
        <v/>
      </c>
      <c r="AA36" t="str">
        <f>""</f>
        <v/>
      </c>
      <c r="AB36" t="str">
        <f t="shared" si="3"/>
        <v>NN</v>
      </c>
      <c r="AC36" t="str">
        <f>"LL"</f>
        <v>LL</v>
      </c>
      <c r="AD36" t="str">
        <f>"0"</f>
        <v>0</v>
      </c>
      <c r="AE36" t="str">
        <f>"0"</f>
        <v>0</v>
      </c>
      <c r="AF36" t="str">
        <f>"30 Jul 2019 23:00"</f>
        <v>30 Jul 2019 23:00</v>
      </c>
      <c r="AG36" t="str">
        <f>"30 Jul 2019 23:00"</f>
        <v>30 Jul 2019 23:00</v>
      </c>
      <c r="AH36" t="str">
        <f>"30 Jul 2019 23:00"</f>
        <v>30 Jul 2019 23:00</v>
      </c>
      <c r="AI36" t="str">
        <f>"30 Jul 2019 23:00"</f>
        <v>30 Jul 2019 23:00</v>
      </c>
      <c r="AJ36" t="str">
        <f>"30 Jul 2019 23:00"</f>
        <v>30 Jul 2019 23:00</v>
      </c>
      <c r="AK36" t="str">
        <f t="shared" ref="AK36:AP36" si="34">"30 Jul 2019 12:00"</f>
        <v>30 Jul 2019 12:00</v>
      </c>
      <c r="AL36" t="str">
        <f t="shared" si="34"/>
        <v>30 Jul 2019 12:00</v>
      </c>
      <c r="AM36" t="str">
        <f t="shared" si="34"/>
        <v>30 Jul 2019 12:00</v>
      </c>
      <c r="AN36" t="str">
        <f t="shared" si="34"/>
        <v>30 Jul 2019 12:00</v>
      </c>
      <c r="AO36" t="str">
        <f t="shared" si="34"/>
        <v>30 Jul 2019 12:00</v>
      </c>
      <c r="AP36" t="str">
        <f t="shared" si="34"/>
        <v>30 Jul 2019 12:00</v>
      </c>
      <c r="AQ36" t="str">
        <f>"30 Jul 2019 23:00"</f>
        <v>30 Jul 2019 23:00</v>
      </c>
      <c r="AR36" t="str">
        <f t="shared" si="19"/>
        <v>Y</v>
      </c>
      <c r="AS36" t="str">
        <f t="shared" si="19"/>
        <v>Y</v>
      </c>
      <c r="AT36" t="str">
        <f t="shared" si="19"/>
        <v>Y</v>
      </c>
      <c r="AU36" t="str">
        <f t="shared" si="24"/>
        <v>N</v>
      </c>
      <c r="AV36" t="str">
        <f t="shared" si="24"/>
        <v>N</v>
      </c>
      <c r="AW36" t="str">
        <f>""</f>
        <v/>
      </c>
      <c r="AX36" t="str">
        <f t="shared" si="6"/>
        <v>No</v>
      </c>
      <c r="AY36" t="str">
        <f>""</f>
        <v/>
      </c>
      <c r="AZ36" t="s">
        <v>12</v>
      </c>
      <c r="BA36" t="s">
        <v>110</v>
      </c>
      <c r="BB36" t="s">
        <v>110</v>
      </c>
    </row>
    <row r="37" spans="1:54">
      <c r="A37" s="7" t="str">
        <f t="shared" si="7"/>
        <v>PHKG2UV021S</v>
      </c>
      <c r="B37" s="8" t="e">
        <f t="shared" si="8"/>
        <v>#VALUE!</v>
      </c>
      <c r="C37" t="str">
        <f t="shared" si="23"/>
        <v>PHKG</v>
      </c>
      <c r="D37" t="str">
        <f>"2UV"</f>
        <v>2UV</v>
      </c>
      <c r="E37" t="str">
        <f>"GAO MING 333"</f>
        <v>GAO MING 333</v>
      </c>
      <c r="F37" t="str">
        <f>""</f>
        <v/>
      </c>
      <c r="G37" t="str">
        <f t="shared" si="0"/>
        <v>OOCL</v>
      </c>
      <c r="H37" t="str">
        <f>""</f>
        <v/>
      </c>
      <c r="I37" t="str">
        <f>"021"</f>
        <v>021</v>
      </c>
      <c r="J37" t="str">
        <f t="shared" ref="J37:J42" si="35">"S"</f>
        <v>S</v>
      </c>
      <c r="K37" t="str">
        <f>"2"</f>
        <v>2</v>
      </c>
      <c r="L37" t="str">
        <f t="shared" ref="L37:L44" si="36">"HKG02"</f>
        <v>HKG02</v>
      </c>
      <c r="M37" t="str">
        <f t="shared" ref="M37:M44" si="37">"HIT - Hongkong International Terminals"</f>
        <v>HIT - Hongkong International Terminals</v>
      </c>
      <c r="N37" t="str">
        <f t="shared" si="1"/>
        <v>HKG</v>
      </c>
      <c r="O37" t="str">
        <f t="shared" si="27"/>
        <v>1</v>
      </c>
      <c r="P37" t="str">
        <f>""</f>
        <v/>
      </c>
      <c r="Q37" t="str">
        <f>"021S"</f>
        <v>021S</v>
      </c>
      <c r="R37" t="str">
        <f>"021S"</f>
        <v>021S</v>
      </c>
      <c r="S37" t="str">
        <f>""</f>
        <v/>
      </c>
      <c r="T37" t="str">
        <f>"31 Jul 2019 00:00"</f>
        <v>31 Jul 2019 00:00</v>
      </c>
      <c r="U37" t="str">
        <f>"31 Jul 2019 01:00"</f>
        <v>31 Jul 2019 01:00</v>
      </c>
      <c r="V37" t="str">
        <f>"1h"</f>
        <v>1h</v>
      </c>
      <c r="W37" t="str">
        <f>"31 Jul 2019 00:00"</f>
        <v>31 Jul 2019 00:00</v>
      </c>
      <c r="X37" t="str">
        <f>""</f>
        <v/>
      </c>
      <c r="Y37" t="str">
        <f>"31 Jul 2019 01:00"</f>
        <v>31 Jul 2019 01:00</v>
      </c>
      <c r="Z37" t="str">
        <f>""</f>
        <v/>
      </c>
      <c r="AA37" t="str">
        <f>""</f>
        <v/>
      </c>
      <c r="AB37" t="str">
        <f t="shared" si="3"/>
        <v>NN</v>
      </c>
      <c r="AC37" t="str">
        <f>"LL"</f>
        <v>LL</v>
      </c>
      <c r="AD37" t="str">
        <f>"0"</f>
        <v>0</v>
      </c>
      <c r="AE37" t="str">
        <f>"0"</f>
        <v>0</v>
      </c>
      <c r="AF37" t="str">
        <f>"31 Jul 2019 00:00"</f>
        <v>31 Jul 2019 00:00</v>
      </c>
      <c r="AG37" t="str">
        <f>"31 Jul 2019 00:00"</f>
        <v>31 Jul 2019 00:00</v>
      </c>
      <c r="AH37" t="str">
        <f>"31 Jul 2019 00:00"</f>
        <v>31 Jul 2019 00:00</v>
      </c>
      <c r="AI37" t="str">
        <f>"31 Jul 2019 00:00"</f>
        <v>31 Jul 2019 00:00</v>
      </c>
      <c r="AJ37" t="str">
        <f>"31 Jul 2019 00:00"</f>
        <v>31 Jul 2019 00:00</v>
      </c>
      <c r="AK37" t="str">
        <f>"31 Jul 2019 01:00"</f>
        <v>31 Jul 2019 01:00</v>
      </c>
      <c r="AL37" t="str">
        <f>"31 Jul 2019 01:00"</f>
        <v>31 Jul 2019 01:00</v>
      </c>
      <c r="AM37" t="str">
        <f>"31 Jul 2019 01:00"</f>
        <v>31 Jul 2019 01:00</v>
      </c>
      <c r="AN37" t="str">
        <f>"31 Jul 2019 01:00"</f>
        <v>31 Jul 2019 01:00</v>
      </c>
      <c r="AO37" t="str">
        <f>"31 Jul 2019 01:00"</f>
        <v>31 Jul 2019 01:00</v>
      </c>
      <c r="AP37" t="str">
        <f>""</f>
        <v/>
      </c>
      <c r="AQ37" t="str">
        <f>"31 Jul 2019 00:00"</f>
        <v>31 Jul 2019 00:00</v>
      </c>
      <c r="AR37" t="str">
        <f t="shared" si="19"/>
        <v>Y</v>
      </c>
      <c r="AS37" t="str">
        <f t="shared" si="19"/>
        <v>Y</v>
      </c>
      <c r="AT37" t="str">
        <f t="shared" si="19"/>
        <v>Y</v>
      </c>
      <c r="AU37" t="str">
        <f t="shared" si="24"/>
        <v>N</v>
      </c>
      <c r="AV37" t="str">
        <f t="shared" si="24"/>
        <v>N</v>
      </c>
      <c r="AW37" t="str">
        <f>""</f>
        <v/>
      </c>
      <c r="AX37" t="str">
        <f t="shared" si="6"/>
        <v>No</v>
      </c>
      <c r="AY37" t="str">
        <f>""</f>
        <v/>
      </c>
      <c r="AZ37" t="s">
        <v>12</v>
      </c>
      <c r="BA37" t="s">
        <v>110</v>
      </c>
      <c r="BB37" t="s">
        <v>110</v>
      </c>
    </row>
    <row r="38" spans="1:54">
      <c r="A38" s="7" t="str">
        <f t="shared" si="7"/>
        <v>PHKG9CS068S</v>
      </c>
      <c r="B38" s="8" t="e">
        <f t="shared" si="8"/>
        <v>#VALUE!</v>
      </c>
      <c r="C38" t="str">
        <f t="shared" si="23"/>
        <v>PHKG</v>
      </c>
      <c r="D38" t="str">
        <f>"9CS"</f>
        <v>9CS</v>
      </c>
      <c r="E38" t="str">
        <f>"YONG SHI FENG 88"</f>
        <v>YONG SHI FENG 88</v>
      </c>
      <c r="F38" t="str">
        <f>""</f>
        <v/>
      </c>
      <c r="G38" t="str">
        <f t="shared" si="0"/>
        <v>OOCL</v>
      </c>
      <c r="H38" t="str">
        <f>""</f>
        <v/>
      </c>
      <c r="I38" t="str">
        <f>"068"</f>
        <v>068</v>
      </c>
      <c r="J38" t="str">
        <f t="shared" si="35"/>
        <v>S</v>
      </c>
      <c r="K38" t="str">
        <f>"3"</f>
        <v>3</v>
      </c>
      <c r="L38" t="str">
        <f t="shared" si="36"/>
        <v>HKG02</v>
      </c>
      <c r="M38" t="str">
        <f t="shared" si="37"/>
        <v>HIT - Hongkong International Terminals</v>
      </c>
      <c r="N38" t="str">
        <f t="shared" si="1"/>
        <v>HKG</v>
      </c>
      <c r="O38" t="str">
        <f t="shared" si="27"/>
        <v>1</v>
      </c>
      <c r="P38" t="str">
        <f>""</f>
        <v/>
      </c>
      <c r="Q38" t="str">
        <f>"068S"</f>
        <v>068S</v>
      </c>
      <c r="R38" t="str">
        <f>"068S"</f>
        <v>068S</v>
      </c>
      <c r="S38" t="str">
        <f>""</f>
        <v/>
      </c>
      <c r="T38" t="str">
        <f>"31 Jul 2019 00:00"</f>
        <v>31 Jul 2019 00:00</v>
      </c>
      <c r="U38" t="str">
        <f>"31 Jul 2019 01:00"</f>
        <v>31 Jul 2019 01:00</v>
      </c>
      <c r="V38" t="str">
        <f>"1h"</f>
        <v>1h</v>
      </c>
      <c r="W38" t="str">
        <f>"31 Jul 2019 00:00"</f>
        <v>31 Jul 2019 00:00</v>
      </c>
      <c r="X38" t="str">
        <f>"31 Jul 2019 07:00"</f>
        <v>31 Jul 2019 07:00</v>
      </c>
      <c r="Y38" t="str">
        <f>"31 Jul 2019 01:00"</f>
        <v>31 Jul 2019 01:00</v>
      </c>
      <c r="Z38" t="str">
        <f>"31 Jul 2019 09:00"</f>
        <v>31 Jul 2019 09:00</v>
      </c>
      <c r="AA38" t="str">
        <f>"2h"</f>
        <v>2h</v>
      </c>
      <c r="AB38" t="str">
        <f t="shared" si="3"/>
        <v>NN</v>
      </c>
      <c r="AC38" t="str">
        <f>"AA"</f>
        <v>AA</v>
      </c>
      <c r="AD38" t="str">
        <f>"7"</f>
        <v>7</v>
      </c>
      <c r="AE38" t="str">
        <f>"8"</f>
        <v>8</v>
      </c>
      <c r="AF38" t="str">
        <f>"31 Jul 2019 07:00"</f>
        <v>31 Jul 2019 07:00</v>
      </c>
      <c r="AG38" t="str">
        <f>"31 Jul 2019 07:00"</f>
        <v>31 Jul 2019 07:00</v>
      </c>
      <c r="AH38" t="str">
        <f>"31 Jul 2019 07:00"</f>
        <v>31 Jul 2019 07:00</v>
      </c>
      <c r="AI38" t="str">
        <f>"31 Jul 2019 07:00"</f>
        <v>31 Jul 2019 07:00</v>
      </c>
      <c r="AJ38" t="str">
        <f>"31 Jul 2019 07:00"</f>
        <v>31 Jul 2019 07:00</v>
      </c>
      <c r="AK38" t="str">
        <f>"31 Jul 2019 00:00"</f>
        <v>31 Jul 2019 00:00</v>
      </c>
      <c r="AL38" t="str">
        <f>"31 Jul 2019 00:00"</f>
        <v>31 Jul 2019 00:00</v>
      </c>
      <c r="AM38" t="str">
        <f>"31 Jul 2019 00:00"</f>
        <v>31 Jul 2019 00:00</v>
      </c>
      <c r="AN38" t="str">
        <f>"31 Jul 2019 00:00"</f>
        <v>31 Jul 2019 00:00</v>
      </c>
      <c r="AO38" t="str">
        <f>"31 Jul 2019 00:00"</f>
        <v>31 Jul 2019 00:00</v>
      </c>
      <c r="AP38" t="str">
        <f>""</f>
        <v/>
      </c>
      <c r="AQ38" t="str">
        <f>"31 Jul 2019 08:00"</f>
        <v>31 Jul 2019 08:00</v>
      </c>
      <c r="AR38" t="str">
        <f t="shared" ref="AR38:AT57" si="38">"Y"</f>
        <v>Y</v>
      </c>
      <c r="AS38" t="str">
        <f t="shared" si="38"/>
        <v>Y</v>
      </c>
      <c r="AT38" t="str">
        <f t="shared" si="38"/>
        <v>Y</v>
      </c>
      <c r="AU38" t="str">
        <f t="shared" si="24"/>
        <v>N</v>
      </c>
      <c r="AV38" t="str">
        <f t="shared" si="24"/>
        <v>N</v>
      </c>
      <c r="AW38" t="str">
        <f>""</f>
        <v/>
      </c>
      <c r="AX38" t="str">
        <f t="shared" si="6"/>
        <v>No</v>
      </c>
      <c r="AY38" t="str">
        <f>""</f>
        <v/>
      </c>
      <c r="AZ38" t="s">
        <v>12</v>
      </c>
      <c r="BA38" t="s">
        <v>110</v>
      </c>
      <c r="BB38" t="s">
        <v>110</v>
      </c>
    </row>
    <row r="39" spans="1:54">
      <c r="A39" s="7" t="str">
        <f t="shared" si="7"/>
        <v>PHKG6UY038S</v>
      </c>
      <c r="B39" s="8" t="e">
        <f t="shared" si="8"/>
        <v>#VALUE!</v>
      </c>
      <c r="C39" t="str">
        <f t="shared" si="23"/>
        <v>PHKG</v>
      </c>
      <c r="D39" t="str">
        <f>"6UY"</f>
        <v>6UY</v>
      </c>
      <c r="E39" t="str">
        <f>"YUE GUANG ZHOU HUO 1286"</f>
        <v>YUE GUANG ZHOU HUO 1286</v>
      </c>
      <c r="F39" t="str">
        <f>""</f>
        <v/>
      </c>
      <c r="G39" t="str">
        <f t="shared" si="0"/>
        <v>OOCL</v>
      </c>
      <c r="H39" t="str">
        <f>""</f>
        <v/>
      </c>
      <c r="I39" t="str">
        <f>"038"</f>
        <v>038</v>
      </c>
      <c r="J39" t="str">
        <f t="shared" si="35"/>
        <v>S</v>
      </c>
      <c r="K39" t="str">
        <f>"2"</f>
        <v>2</v>
      </c>
      <c r="L39" t="str">
        <f t="shared" si="36"/>
        <v>HKG02</v>
      </c>
      <c r="M39" t="str">
        <f t="shared" si="37"/>
        <v>HIT - Hongkong International Terminals</v>
      </c>
      <c r="N39" t="str">
        <f t="shared" si="1"/>
        <v>HKG</v>
      </c>
      <c r="O39" t="str">
        <f t="shared" si="27"/>
        <v>1</v>
      </c>
      <c r="P39" t="str">
        <f>""</f>
        <v/>
      </c>
      <c r="Q39" t="str">
        <f>"038S"</f>
        <v>038S</v>
      </c>
      <c r="R39" t="str">
        <f>"038S"</f>
        <v>038S</v>
      </c>
      <c r="S39" t="str">
        <f>""</f>
        <v/>
      </c>
      <c r="T39" t="str">
        <f>"31 Jul 2019 00:00"</f>
        <v>31 Jul 2019 00:00</v>
      </c>
      <c r="U39" t="str">
        <f>"31 Jul 2019 02:00"</f>
        <v>31 Jul 2019 02:00</v>
      </c>
      <c r="V39" t="str">
        <f>"2h"</f>
        <v>2h</v>
      </c>
      <c r="W39" t="str">
        <f>"31 Jul 2019 00:00"</f>
        <v>31 Jul 2019 00:00</v>
      </c>
      <c r="X39" t="str">
        <f>"30 Jul 2019 22:20"</f>
        <v>30 Jul 2019 22:20</v>
      </c>
      <c r="Y39" t="str">
        <f>"31 Jul 2019 02:00"</f>
        <v>31 Jul 2019 02:00</v>
      </c>
      <c r="Z39" t="str">
        <f>"31 Jul 2019 02:57"</f>
        <v>31 Jul 2019 02:57</v>
      </c>
      <c r="AA39" t="str">
        <f>"4h 37m"</f>
        <v>4h 37m</v>
      </c>
      <c r="AB39" t="str">
        <f t="shared" si="3"/>
        <v>NN</v>
      </c>
      <c r="AC39" t="str">
        <f>"AA"</f>
        <v>AA</v>
      </c>
      <c r="AD39" t="str">
        <f>"-2"</f>
        <v>-2</v>
      </c>
      <c r="AE39" t="str">
        <f>"1"</f>
        <v>1</v>
      </c>
      <c r="AF39" t="str">
        <f t="shared" ref="AF39:AO41" si="39">"31 Jul 2019 02:00"</f>
        <v>31 Jul 2019 02:00</v>
      </c>
      <c r="AG39" t="str">
        <f t="shared" si="39"/>
        <v>31 Jul 2019 02:00</v>
      </c>
      <c r="AH39" t="str">
        <f t="shared" si="39"/>
        <v>31 Jul 2019 02:00</v>
      </c>
      <c r="AI39" t="str">
        <f t="shared" si="39"/>
        <v>31 Jul 2019 02:00</v>
      </c>
      <c r="AJ39" t="str">
        <f t="shared" si="39"/>
        <v>31 Jul 2019 02:00</v>
      </c>
      <c r="AK39" t="str">
        <f t="shared" si="39"/>
        <v>31 Jul 2019 02:00</v>
      </c>
      <c r="AL39" t="str">
        <f t="shared" si="39"/>
        <v>31 Jul 2019 02:00</v>
      </c>
      <c r="AM39" t="str">
        <f t="shared" si="39"/>
        <v>31 Jul 2019 02:00</v>
      </c>
      <c r="AN39" t="str">
        <f t="shared" si="39"/>
        <v>31 Jul 2019 02:00</v>
      </c>
      <c r="AO39" t="str">
        <f t="shared" si="39"/>
        <v>31 Jul 2019 02:00</v>
      </c>
      <c r="AP39" t="str">
        <f>""</f>
        <v/>
      </c>
      <c r="AQ39" t="str">
        <f>"31 Jul 2019 02:00"</f>
        <v>31 Jul 2019 02:00</v>
      </c>
      <c r="AR39" t="str">
        <f t="shared" si="38"/>
        <v>Y</v>
      </c>
      <c r="AS39" t="str">
        <f t="shared" si="38"/>
        <v>Y</v>
      </c>
      <c r="AT39" t="str">
        <f t="shared" si="38"/>
        <v>Y</v>
      </c>
      <c r="AU39" t="str">
        <f t="shared" si="24"/>
        <v>N</v>
      </c>
      <c r="AV39" t="str">
        <f t="shared" si="24"/>
        <v>N</v>
      </c>
      <c r="AW39" t="str">
        <f>""</f>
        <v/>
      </c>
      <c r="AX39" t="str">
        <f t="shared" si="6"/>
        <v>No</v>
      </c>
      <c r="AY39" t="str">
        <f>""</f>
        <v/>
      </c>
      <c r="AZ39" t="s">
        <v>12</v>
      </c>
      <c r="BA39" t="s">
        <v>110</v>
      </c>
      <c r="BB39" t="s">
        <v>110</v>
      </c>
    </row>
    <row r="40" spans="1:54">
      <c r="A40" s="7" t="str">
        <f t="shared" si="7"/>
        <v>PHKGUX9646S</v>
      </c>
      <c r="B40" s="8" t="e">
        <f t="shared" si="8"/>
        <v>#VALUE!</v>
      </c>
      <c r="C40" t="str">
        <f t="shared" si="23"/>
        <v>PHKG</v>
      </c>
      <c r="D40" t="str">
        <f>"UX9"</f>
        <v>UX9</v>
      </c>
      <c r="E40" t="str">
        <f>"SHI YUN 902"</f>
        <v>SHI YUN 902</v>
      </c>
      <c r="F40" t="str">
        <f>""</f>
        <v/>
      </c>
      <c r="G40" t="str">
        <f t="shared" si="0"/>
        <v>OOCL</v>
      </c>
      <c r="H40" t="str">
        <f>""</f>
        <v/>
      </c>
      <c r="I40" t="str">
        <f>"646"</f>
        <v>646</v>
      </c>
      <c r="J40" t="str">
        <f t="shared" si="35"/>
        <v>S</v>
      </c>
      <c r="K40" t="str">
        <f>"2"</f>
        <v>2</v>
      </c>
      <c r="L40" t="str">
        <f t="shared" si="36"/>
        <v>HKG02</v>
      </c>
      <c r="M40" t="str">
        <f t="shared" si="37"/>
        <v>HIT - Hongkong International Terminals</v>
      </c>
      <c r="N40" t="str">
        <f t="shared" si="1"/>
        <v>HKG</v>
      </c>
      <c r="O40" t="str">
        <f t="shared" si="27"/>
        <v>1</v>
      </c>
      <c r="P40" t="str">
        <f>""</f>
        <v/>
      </c>
      <c r="Q40" t="str">
        <f>"646S"</f>
        <v>646S</v>
      </c>
      <c r="R40" t="str">
        <f>"646S"</f>
        <v>646S</v>
      </c>
      <c r="S40" t="str">
        <f>""</f>
        <v/>
      </c>
      <c r="T40" t="str">
        <f>"30 Jul 2019 20:00"</f>
        <v>30 Jul 2019 20:00</v>
      </c>
      <c r="U40" t="str">
        <f>"30 Jul 2019 21:00"</f>
        <v>30 Jul 2019 21:00</v>
      </c>
      <c r="V40" t="str">
        <f>"1h"</f>
        <v>1h</v>
      </c>
      <c r="W40" t="str">
        <f>"30 Jul 2019 23:59"</f>
        <v>30 Jul 2019 23:59</v>
      </c>
      <c r="X40" t="str">
        <f>""</f>
        <v/>
      </c>
      <c r="Y40" t="str">
        <f>"31 Jul 2019 02:00"</f>
        <v>31 Jul 2019 02:00</v>
      </c>
      <c r="Z40" t="str">
        <f>""</f>
        <v/>
      </c>
      <c r="AA40" t="str">
        <f>""</f>
        <v/>
      </c>
      <c r="AB40" t="str">
        <f t="shared" si="3"/>
        <v>NN</v>
      </c>
      <c r="AC40" t="str">
        <f>"CC"</f>
        <v>CC</v>
      </c>
      <c r="AD40" t="str">
        <f>"4"</f>
        <v>4</v>
      </c>
      <c r="AE40" t="str">
        <f>"5"</f>
        <v>5</v>
      </c>
      <c r="AF40" t="str">
        <f t="shared" si="39"/>
        <v>31 Jul 2019 02:00</v>
      </c>
      <c r="AG40" t="str">
        <f t="shared" si="39"/>
        <v>31 Jul 2019 02:00</v>
      </c>
      <c r="AH40" t="str">
        <f t="shared" si="39"/>
        <v>31 Jul 2019 02:00</v>
      </c>
      <c r="AI40" t="str">
        <f t="shared" si="39"/>
        <v>31 Jul 2019 02:00</v>
      </c>
      <c r="AJ40" t="str">
        <f t="shared" si="39"/>
        <v>31 Jul 2019 02:00</v>
      </c>
      <c r="AK40" t="str">
        <f>"30 Jul 2019 21:00"</f>
        <v>30 Jul 2019 21:00</v>
      </c>
      <c r="AL40" t="str">
        <f>"30 Jul 2019 21:00"</f>
        <v>30 Jul 2019 21:00</v>
      </c>
      <c r="AM40" t="str">
        <f>"30 Jul 2019 21:00"</f>
        <v>30 Jul 2019 21:00</v>
      </c>
      <c r="AN40" t="str">
        <f>"30 Jul 2019 21:00"</f>
        <v>30 Jul 2019 21:00</v>
      </c>
      <c r="AO40" t="str">
        <f>"30 Jul 2019 21:00"</f>
        <v>30 Jul 2019 21:00</v>
      </c>
      <c r="AP40" t="str">
        <f>""</f>
        <v/>
      </c>
      <c r="AQ40" t="str">
        <f>"30 Jul 2019 23:59"</f>
        <v>30 Jul 2019 23:59</v>
      </c>
      <c r="AR40" t="str">
        <f t="shared" si="38"/>
        <v>Y</v>
      </c>
      <c r="AS40" t="str">
        <f t="shared" si="38"/>
        <v>Y</v>
      </c>
      <c r="AT40" t="str">
        <f t="shared" si="38"/>
        <v>Y</v>
      </c>
      <c r="AU40" t="str">
        <f t="shared" si="24"/>
        <v>N</v>
      </c>
      <c r="AV40" t="str">
        <f t="shared" si="24"/>
        <v>N</v>
      </c>
      <c r="AW40" t="str">
        <f>""</f>
        <v/>
      </c>
      <c r="AX40" t="str">
        <f t="shared" si="6"/>
        <v>No</v>
      </c>
      <c r="AY40" t="str">
        <f>""</f>
        <v/>
      </c>
      <c r="AZ40" t="s">
        <v>12</v>
      </c>
      <c r="BA40" t="s">
        <v>110</v>
      </c>
      <c r="BB40" t="s">
        <v>110</v>
      </c>
    </row>
    <row r="41" spans="1:54">
      <c r="A41" s="7" t="str">
        <f t="shared" si="7"/>
        <v>PHKGWE5216S</v>
      </c>
      <c r="B41" s="8" t="e">
        <f t="shared" si="8"/>
        <v>#VALUE!</v>
      </c>
      <c r="C41" t="str">
        <f t="shared" si="23"/>
        <v>PHKG</v>
      </c>
      <c r="D41" t="str">
        <f>"WE5"</f>
        <v>WE5</v>
      </c>
      <c r="E41" t="str">
        <f>"SUI HAI YUN 638"</f>
        <v>SUI HAI YUN 638</v>
      </c>
      <c r="F41" t="str">
        <f>""</f>
        <v/>
      </c>
      <c r="G41" t="str">
        <f t="shared" si="0"/>
        <v>OOCL</v>
      </c>
      <c r="H41" t="str">
        <f>""</f>
        <v/>
      </c>
      <c r="I41" t="str">
        <f>"216"</f>
        <v>216</v>
      </c>
      <c r="J41" t="str">
        <f t="shared" si="35"/>
        <v>S</v>
      </c>
      <c r="K41" t="str">
        <f>"2"</f>
        <v>2</v>
      </c>
      <c r="L41" t="str">
        <f t="shared" si="36"/>
        <v>HKG02</v>
      </c>
      <c r="M41" t="str">
        <f t="shared" si="37"/>
        <v>HIT - Hongkong International Terminals</v>
      </c>
      <c r="N41" t="str">
        <f t="shared" si="1"/>
        <v>HKG</v>
      </c>
      <c r="O41" t="str">
        <f t="shared" si="27"/>
        <v>1</v>
      </c>
      <c r="P41" t="str">
        <f>""</f>
        <v/>
      </c>
      <c r="Q41" t="str">
        <f>"216S"</f>
        <v>216S</v>
      </c>
      <c r="R41" t="str">
        <f>"216S"</f>
        <v>216S</v>
      </c>
      <c r="S41" t="str">
        <f>""</f>
        <v/>
      </c>
      <c r="T41" t="str">
        <f>"31 Jul 2019 00:00"</f>
        <v>31 Jul 2019 00:00</v>
      </c>
      <c r="U41" t="str">
        <f>"31 Jul 2019 02:00"</f>
        <v>31 Jul 2019 02:00</v>
      </c>
      <c r="V41" t="str">
        <f>"2h"</f>
        <v>2h</v>
      </c>
      <c r="W41" t="str">
        <f>"31 Jul 2019 00:00"</f>
        <v>31 Jul 2019 00:00</v>
      </c>
      <c r="X41" t="str">
        <f>"30 Jul 2019 23:08"</f>
        <v>30 Jul 2019 23:08</v>
      </c>
      <c r="Y41" t="str">
        <f>"31 Jul 2019 02:00"</f>
        <v>31 Jul 2019 02:00</v>
      </c>
      <c r="Z41" t="str">
        <f>"31 Jul 2019 04:40"</f>
        <v>31 Jul 2019 04:40</v>
      </c>
      <c r="AA41" t="str">
        <f>"5h 31m"</f>
        <v>5h 31m</v>
      </c>
      <c r="AB41" t="str">
        <f t="shared" si="3"/>
        <v>NN</v>
      </c>
      <c r="AC41" t="str">
        <f>"AA"</f>
        <v>AA</v>
      </c>
      <c r="AD41" t="str">
        <f>"-1"</f>
        <v>-1</v>
      </c>
      <c r="AE41" t="str">
        <f>"3"</f>
        <v>3</v>
      </c>
      <c r="AF41" t="str">
        <f t="shared" si="39"/>
        <v>31 Jul 2019 02:00</v>
      </c>
      <c r="AG41" t="str">
        <f t="shared" si="39"/>
        <v>31 Jul 2019 02:00</v>
      </c>
      <c r="AH41" t="str">
        <f t="shared" si="39"/>
        <v>31 Jul 2019 02:00</v>
      </c>
      <c r="AI41" t="str">
        <f t="shared" si="39"/>
        <v>31 Jul 2019 02:00</v>
      </c>
      <c r="AJ41" t="str">
        <f t="shared" si="39"/>
        <v>31 Jul 2019 02:00</v>
      </c>
      <c r="AK41" t="str">
        <f>"31 Jul 2019 02:00"</f>
        <v>31 Jul 2019 02:00</v>
      </c>
      <c r="AL41" t="str">
        <f>"31 Jul 2019 02:00"</f>
        <v>31 Jul 2019 02:00</v>
      </c>
      <c r="AM41" t="str">
        <f>"31 Jul 2019 02:00"</f>
        <v>31 Jul 2019 02:00</v>
      </c>
      <c r="AN41" t="str">
        <f>"31 Jul 2019 02:00"</f>
        <v>31 Jul 2019 02:00</v>
      </c>
      <c r="AO41" t="str">
        <f>"31 Jul 2019 02:00"</f>
        <v>31 Jul 2019 02:00</v>
      </c>
      <c r="AP41" t="str">
        <f>""</f>
        <v/>
      </c>
      <c r="AQ41" t="str">
        <f>"31 Jul 2019 02:00"</f>
        <v>31 Jul 2019 02:00</v>
      </c>
      <c r="AR41" t="str">
        <f t="shared" si="38"/>
        <v>Y</v>
      </c>
      <c r="AS41" t="str">
        <f t="shared" si="38"/>
        <v>Y</v>
      </c>
      <c r="AT41" t="str">
        <f t="shared" si="38"/>
        <v>Y</v>
      </c>
      <c r="AU41" t="str">
        <f t="shared" si="24"/>
        <v>N</v>
      </c>
      <c r="AV41" t="str">
        <f t="shared" si="24"/>
        <v>N</v>
      </c>
      <c r="AW41" t="str">
        <f>""</f>
        <v/>
      </c>
      <c r="AX41" t="str">
        <f t="shared" si="6"/>
        <v>No</v>
      </c>
      <c r="AY41" t="str">
        <f>""</f>
        <v/>
      </c>
      <c r="AZ41" t="s">
        <v>12</v>
      </c>
      <c r="BA41" t="s">
        <v>110</v>
      </c>
      <c r="BB41" t="s">
        <v>110</v>
      </c>
    </row>
    <row r="42" spans="1:54">
      <c r="A42" s="7" t="str">
        <f t="shared" si="7"/>
        <v>PHKG1QU283S</v>
      </c>
      <c r="B42" s="8" t="e">
        <f t="shared" si="8"/>
        <v>#VALUE!</v>
      </c>
      <c r="C42" t="str">
        <f t="shared" si="23"/>
        <v>PHKG</v>
      </c>
      <c r="D42" t="str">
        <f>"1QU"</f>
        <v>1QU</v>
      </c>
      <c r="E42" t="str">
        <f>"FAN YUN 128"</f>
        <v>FAN YUN 128</v>
      </c>
      <c r="F42" t="str">
        <f>""</f>
        <v/>
      </c>
      <c r="G42" t="str">
        <f t="shared" si="0"/>
        <v>OOCL</v>
      </c>
      <c r="H42" t="str">
        <f>""</f>
        <v/>
      </c>
      <c r="I42" t="str">
        <f>"283"</f>
        <v>283</v>
      </c>
      <c r="J42" t="str">
        <f t="shared" si="35"/>
        <v>S</v>
      </c>
      <c r="K42" t="str">
        <f>"2"</f>
        <v>2</v>
      </c>
      <c r="L42" t="str">
        <f t="shared" si="36"/>
        <v>HKG02</v>
      </c>
      <c r="M42" t="str">
        <f t="shared" si="37"/>
        <v>HIT - Hongkong International Terminals</v>
      </c>
      <c r="N42" t="str">
        <f t="shared" si="1"/>
        <v>HKG</v>
      </c>
      <c r="O42" t="str">
        <f t="shared" si="27"/>
        <v>1</v>
      </c>
      <c r="P42" t="str">
        <f>""</f>
        <v/>
      </c>
      <c r="Q42" t="str">
        <f>"283S"</f>
        <v>283S</v>
      </c>
      <c r="R42" t="str">
        <f>"283S"</f>
        <v>283S</v>
      </c>
      <c r="S42" t="str">
        <f>""</f>
        <v/>
      </c>
      <c r="T42" t="str">
        <f>"31 Jul 2019 02:00"</f>
        <v>31 Jul 2019 02:00</v>
      </c>
      <c r="U42" t="str">
        <f>"31 Jul 2019 03:00"</f>
        <v>31 Jul 2019 03:00</v>
      </c>
      <c r="V42" t="str">
        <f>"1h"</f>
        <v>1h</v>
      </c>
      <c r="W42" t="str">
        <f>"31 Jul 2019 02:00"</f>
        <v>31 Jul 2019 02:00</v>
      </c>
      <c r="X42" t="str">
        <f>""</f>
        <v/>
      </c>
      <c r="Y42" t="str">
        <f>"31 Jul 2019 03:00"</f>
        <v>31 Jul 2019 03:00</v>
      </c>
      <c r="Z42" t="str">
        <f>""</f>
        <v/>
      </c>
      <c r="AA42" t="str">
        <f>""</f>
        <v/>
      </c>
      <c r="AB42" t="str">
        <f t="shared" si="3"/>
        <v>NN</v>
      </c>
      <c r="AC42" t="str">
        <f>"LL"</f>
        <v>LL</v>
      </c>
      <c r="AD42" t="str">
        <f t="shared" ref="AD42:AE45" si="40">"0"</f>
        <v>0</v>
      </c>
      <c r="AE42" t="str">
        <f t="shared" si="40"/>
        <v>0</v>
      </c>
      <c r="AF42" t="str">
        <f>"31 Jul 2019 23:00"</f>
        <v>31 Jul 2019 23:00</v>
      </c>
      <c r="AG42" t="str">
        <f>"31 Jul 2019 23:00"</f>
        <v>31 Jul 2019 23:00</v>
      </c>
      <c r="AH42" t="str">
        <f>"31 Jul 2019 23:00"</f>
        <v>31 Jul 2019 23:00</v>
      </c>
      <c r="AI42" t="str">
        <f>"31 Jul 2019 23:00"</f>
        <v>31 Jul 2019 23:00</v>
      </c>
      <c r="AJ42" t="str">
        <f>"31 Jul 2019 23:00"</f>
        <v>31 Jul 2019 23:00</v>
      </c>
      <c r="AK42" t="str">
        <f>"31 Jul 2019 03:00"</f>
        <v>31 Jul 2019 03:00</v>
      </c>
      <c r="AL42" t="str">
        <f>"31 Jul 2019 03:00"</f>
        <v>31 Jul 2019 03:00</v>
      </c>
      <c r="AM42" t="str">
        <f>"31 Jul 2019 03:00"</f>
        <v>31 Jul 2019 03:00</v>
      </c>
      <c r="AN42" t="str">
        <f>"31 Jul 2019 03:00"</f>
        <v>31 Jul 2019 03:00</v>
      </c>
      <c r="AO42" t="str">
        <f>"31 Jul 2019 03:00"</f>
        <v>31 Jul 2019 03:00</v>
      </c>
      <c r="AP42" t="str">
        <f>""</f>
        <v/>
      </c>
      <c r="AQ42" t="str">
        <f>"31 Jul 2019 23:00"</f>
        <v>31 Jul 2019 23:00</v>
      </c>
      <c r="AR42" t="str">
        <f t="shared" si="38"/>
        <v>Y</v>
      </c>
      <c r="AS42" t="str">
        <f t="shared" si="38"/>
        <v>Y</v>
      </c>
      <c r="AT42" t="str">
        <f t="shared" si="38"/>
        <v>Y</v>
      </c>
      <c r="AU42" t="str">
        <f t="shared" ref="AU42:AV61" si="41">"N"</f>
        <v>N</v>
      </c>
      <c r="AV42" t="str">
        <f t="shared" si="41"/>
        <v>N</v>
      </c>
      <c r="AW42" t="str">
        <f>""</f>
        <v/>
      </c>
      <c r="AX42" t="str">
        <f t="shared" si="6"/>
        <v>No</v>
      </c>
      <c r="AY42" t="str">
        <f>""</f>
        <v/>
      </c>
      <c r="AZ42" t="s">
        <v>12</v>
      </c>
      <c r="BA42" t="s">
        <v>110</v>
      </c>
      <c r="BB42" t="s">
        <v>110</v>
      </c>
    </row>
    <row r="43" spans="1:54">
      <c r="A43" s="7" t="str">
        <f t="shared" si="7"/>
        <v>PHKG9WB029E</v>
      </c>
      <c r="B43" s="8" t="e">
        <f t="shared" si="8"/>
        <v>#VALUE!</v>
      </c>
      <c r="C43" t="str">
        <f t="shared" si="23"/>
        <v>PHKG</v>
      </c>
      <c r="D43" t="str">
        <f>"9WB"</f>
        <v>9WB</v>
      </c>
      <c r="E43" t="str">
        <f>"HUI HAI LONG 598"</f>
        <v>HUI HAI LONG 598</v>
      </c>
      <c r="F43" t="str">
        <f>""</f>
        <v/>
      </c>
      <c r="G43" t="str">
        <f t="shared" si="0"/>
        <v>OOCL</v>
      </c>
      <c r="H43" t="str">
        <f>""</f>
        <v/>
      </c>
      <c r="I43" t="str">
        <f>"029"</f>
        <v>029</v>
      </c>
      <c r="J43" t="str">
        <f>"E"</f>
        <v>E</v>
      </c>
      <c r="K43" t="str">
        <f>"4"</f>
        <v>4</v>
      </c>
      <c r="L43" t="str">
        <f t="shared" si="36"/>
        <v>HKG02</v>
      </c>
      <c r="M43" t="str">
        <f t="shared" si="37"/>
        <v>HIT - Hongkong International Terminals</v>
      </c>
      <c r="N43" t="str">
        <f t="shared" si="1"/>
        <v>HKG</v>
      </c>
      <c r="O43" t="str">
        <f>"2"</f>
        <v>2</v>
      </c>
      <c r="P43" t="str">
        <f>""</f>
        <v/>
      </c>
      <c r="Q43" t="str">
        <f>"029E"</f>
        <v>029E</v>
      </c>
      <c r="R43" t="str">
        <f>"029E"</f>
        <v>029E</v>
      </c>
      <c r="S43" t="str">
        <f>""</f>
        <v/>
      </c>
      <c r="T43" t="str">
        <f>"31 Jul 2019 02:00"</f>
        <v>31 Jul 2019 02:00</v>
      </c>
      <c r="U43" t="str">
        <f>"31 Jul 2019 04:00"</f>
        <v>31 Jul 2019 04:00</v>
      </c>
      <c r="V43" t="str">
        <f>"2h"</f>
        <v>2h</v>
      </c>
      <c r="W43" t="str">
        <f>"31 Jul 2019 02:00"</f>
        <v>31 Jul 2019 02:00</v>
      </c>
      <c r="X43" t="str">
        <f>""</f>
        <v/>
      </c>
      <c r="Y43" t="str">
        <f>"31 Jul 2019 04:00"</f>
        <v>31 Jul 2019 04:00</v>
      </c>
      <c r="Z43" t="str">
        <f>""</f>
        <v/>
      </c>
      <c r="AA43" t="str">
        <f>""</f>
        <v/>
      </c>
      <c r="AB43" t="str">
        <f t="shared" si="3"/>
        <v>NN</v>
      </c>
      <c r="AC43" t="str">
        <f>"LL"</f>
        <v>LL</v>
      </c>
      <c r="AD43" t="str">
        <f t="shared" si="40"/>
        <v>0</v>
      </c>
      <c r="AE43" t="str">
        <f t="shared" si="40"/>
        <v>0</v>
      </c>
      <c r="AF43" t="str">
        <f>"31 Jul 2019 12:00"</f>
        <v>31 Jul 2019 12:00</v>
      </c>
      <c r="AG43" t="str">
        <f>"31 Jul 2019 12:00"</f>
        <v>31 Jul 2019 12:00</v>
      </c>
      <c r="AH43" t="str">
        <f>"31 Jul 2019 12:00"</f>
        <v>31 Jul 2019 12:00</v>
      </c>
      <c r="AI43" t="str">
        <f>"31 Jul 2019 12:00"</f>
        <v>31 Jul 2019 12:00</v>
      </c>
      <c r="AJ43" t="str">
        <f>"31 Jul 2019 12:00"</f>
        <v>31 Jul 2019 12:00</v>
      </c>
      <c r="AK43" t="str">
        <f>"31 Jul 2019 04:00"</f>
        <v>31 Jul 2019 04:00</v>
      </c>
      <c r="AL43" t="str">
        <f>"31 Jul 2019 04:00"</f>
        <v>31 Jul 2019 04:00</v>
      </c>
      <c r="AM43" t="str">
        <f>"31 Jul 2019 04:00"</f>
        <v>31 Jul 2019 04:00</v>
      </c>
      <c r="AN43" t="str">
        <f>"31 Jul 2019 04:00"</f>
        <v>31 Jul 2019 04:00</v>
      </c>
      <c r="AO43" t="str">
        <f>"31 Jul 2019 04:00"</f>
        <v>31 Jul 2019 04:00</v>
      </c>
      <c r="AP43" t="str">
        <f>""</f>
        <v/>
      </c>
      <c r="AQ43" t="str">
        <f>"31 Jul 2019 12:00"</f>
        <v>31 Jul 2019 12:00</v>
      </c>
      <c r="AR43" t="str">
        <f t="shared" si="38"/>
        <v>Y</v>
      </c>
      <c r="AS43" t="str">
        <f t="shared" si="38"/>
        <v>Y</v>
      </c>
      <c r="AT43" t="str">
        <f t="shared" si="38"/>
        <v>Y</v>
      </c>
      <c r="AU43" t="str">
        <f t="shared" si="41"/>
        <v>N</v>
      </c>
      <c r="AV43" t="str">
        <f t="shared" si="41"/>
        <v>N</v>
      </c>
      <c r="AW43" t="str">
        <f>""</f>
        <v/>
      </c>
      <c r="AX43" t="str">
        <f t="shared" si="6"/>
        <v>No</v>
      </c>
      <c r="AY43" t="str">
        <f>""</f>
        <v/>
      </c>
      <c r="AZ43" t="s">
        <v>12</v>
      </c>
      <c r="BA43" t="s">
        <v>110</v>
      </c>
      <c r="BB43" t="s">
        <v>110</v>
      </c>
    </row>
    <row r="44" spans="1:54">
      <c r="A44" s="7" t="str">
        <f t="shared" si="7"/>
        <v>PHKG7VA178S</v>
      </c>
      <c r="B44" s="8" t="e">
        <f t="shared" si="8"/>
        <v>#VALUE!</v>
      </c>
      <c r="C44" t="str">
        <f t="shared" si="23"/>
        <v>PHKG</v>
      </c>
      <c r="D44" t="str">
        <f>"7VA"</f>
        <v>7VA</v>
      </c>
      <c r="E44" t="str">
        <f>"ZHU CHUAN 1005"</f>
        <v>ZHU CHUAN 1005</v>
      </c>
      <c r="F44" t="str">
        <f>""</f>
        <v/>
      </c>
      <c r="G44" t="str">
        <f t="shared" si="0"/>
        <v>OOCL</v>
      </c>
      <c r="H44" t="str">
        <f>""</f>
        <v/>
      </c>
      <c r="I44" t="str">
        <f>"178"</f>
        <v>178</v>
      </c>
      <c r="J44" t="str">
        <f>"S"</f>
        <v>S</v>
      </c>
      <c r="K44" t="str">
        <f>"2"</f>
        <v>2</v>
      </c>
      <c r="L44" t="str">
        <f t="shared" si="36"/>
        <v>HKG02</v>
      </c>
      <c r="M44" t="str">
        <f t="shared" si="37"/>
        <v>HIT - Hongkong International Terminals</v>
      </c>
      <c r="N44" t="str">
        <f t="shared" si="1"/>
        <v>HKG</v>
      </c>
      <c r="O44" t="str">
        <f>"1"</f>
        <v>1</v>
      </c>
      <c r="P44" t="str">
        <f>""</f>
        <v/>
      </c>
      <c r="Q44" t="str">
        <f>"178S"</f>
        <v>178S</v>
      </c>
      <c r="R44" t="str">
        <f>"178S"</f>
        <v>178S</v>
      </c>
      <c r="S44" t="str">
        <f>""</f>
        <v/>
      </c>
      <c r="T44" t="str">
        <f>"31 Jul 2019 04:00"</f>
        <v>31 Jul 2019 04:00</v>
      </c>
      <c r="U44" t="str">
        <f>"31 Jul 2019 05:00"</f>
        <v>31 Jul 2019 05:00</v>
      </c>
      <c r="V44" t="str">
        <f>"1h"</f>
        <v>1h</v>
      </c>
      <c r="W44" t="str">
        <f>"31 Jul 2019 04:00"</f>
        <v>31 Jul 2019 04:00</v>
      </c>
      <c r="X44" t="str">
        <f>""</f>
        <v/>
      </c>
      <c r="Y44" t="str">
        <f>"31 Jul 2019 05:00"</f>
        <v>31 Jul 2019 05:00</v>
      </c>
      <c r="Z44" t="str">
        <f>""</f>
        <v/>
      </c>
      <c r="AA44" t="str">
        <f>""</f>
        <v/>
      </c>
      <c r="AB44" t="str">
        <f t="shared" si="3"/>
        <v>NN</v>
      </c>
      <c r="AC44" t="str">
        <f>"LL"</f>
        <v>LL</v>
      </c>
      <c r="AD44" t="str">
        <f t="shared" si="40"/>
        <v>0</v>
      </c>
      <c r="AE44" t="str">
        <f t="shared" si="40"/>
        <v>0</v>
      </c>
      <c r="AF44" t="str">
        <f t="shared" ref="AF44:AO44" si="42">"31 Jul 2019 05:00"</f>
        <v>31 Jul 2019 05:00</v>
      </c>
      <c r="AG44" t="str">
        <f t="shared" si="42"/>
        <v>31 Jul 2019 05:00</v>
      </c>
      <c r="AH44" t="str">
        <f t="shared" si="42"/>
        <v>31 Jul 2019 05:00</v>
      </c>
      <c r="AI44" t="str">
        <f t="shared" si="42"/>
        <v>31 Jul 2019 05:00</v>
      </c>
      <c r="AJ44" t="str">
        <f t="shared" si="42"/>
        <v>31 Jul 2019 05:00</v>
      </c>
      <c r="AK44" t="str">
        <f t="shared" si="42"/>
        <v>31 Jul 2019 05:00</v>
      </c>
      <c r="AL44" t="str">
        <f t="shared" si="42"/>
        <v>31 Jul 2019 05:00</v>
      </c>
      <c r="AM44" t="str">
        <f t="shared" si="42"/>
        <v>31 Jul 2019 05:00</v>
      </c>
      <c r="AN44" t="str">
        <f t="shared" si="42"/>
        <v>31 Jul 2019 05:00</v>
      </c>
      <c r="AO44" t="str">
        <f t="shared" si="42"/>
        <v>31 Jul 2019 05:00</v>
      </c>
      <c r="AP44" t="str">
        <f>""</f>
        <v/>
      </c>
      <c r="AQ44" t="str">
        <f>"31 Jul 2019 05:00"</f>
        <v>31 Jul 2019 05:00</v>
      </c>
      <c r="AR44" t="str">
        <f t="shared" si="38"/>
        <v>Y</v>
      </c>
      <c r="AS44" t="str">
        <f t="shared" si="38"/>
        <v>Y</v>
      </c>
      <c r="AT44" t="str">
        <f t="shared" si="38"/>
        <v>Y</v>
      </c>
      <c r="AU44" t="str">
        <f t="shared" si="41"/>
        <v>N</v>
      </c>
      <c r="AV44" t="str">
        <f t="shared" si="41"/>
        <v>N</v>
      </c>
      <c r="AW44" t="str">
        <f>""</f>
        <v/>
      </c>
      <c r="AX44" t="str">
        <f t="shared" si="6"/>
        <v>No</v>
      </c>
      <c r="AY44" t="str">
        <f>""</f>
        <v/>
      </c>
      <c r="AZ44" t="s">
        <v>12</v>
      </c>
      <c r="BA44" t="s">
        <v>110</v>
      </c>
      <c r="BB44" t="s">
        <v>110</v>
      </c>
    </row>
    <row r="45" spans="1:54">
      <c r="A45" s="7" t="str">
        <f t="shared" si="7"/>
        <v>PHKG9BP190730N</v>
      </c>
      <c r="B45" s="8">
        <f t="shared" si="8"/>
        <v>43676.583333333336</v>
      </c>
      <c r="C45" t="str">
        <f t="shared" si="23"/>
        <v>PHKG</v>
      </c>
      <c r="D45" t="str">
        <f>"9BP"</f>
        <v>9BP</v>
      </c>
      <c r="E45" t="str">
        <f>"HUI JIN QIAO 09"</f>
        <v>HUI JIN QIAO 09</v>
      </c>
      <c r="F45" t="str">
        <f>""</f>
        <v/>
      </c>
      <c r="G45" t="str">
        <f t="shared" si="0"/>
        <v>OOCL</v>
      </c>
      <c r="H45" t="str">
        <f>""</f>
        <v/>
      </c>
      <c r="I45" t="str">
        <f>"161"</f>
        <v>161</v>
      </c>
      <c r="J45" t="str">
        <f>"N"</f>
        <v>N</v>
      </c>
      <c r="K45" t="str">
        <f>"1"</f>
        <v>1</v>
      </c>
      <c r="L45" t="str">
        <f>"HKG13"</f>
        <v>HKG13</v>
      </c>
      <c r="M45" t="str">
        <f>"River Trade Terminal Co., Ltd"</f>
        <v>River Trade Terminal Co., Ltd</v>
      </c>
      <c r="N45" t="str">
        <f t="shared" si="1"/>
        <v>HKG</v>
      </c>
      <c r="O45" t="str">
        <f>"1"</f>
        <v>1</v>
      </c>
      <c r="P45" t="str">
        <f>""</f>
        <v/>
      </c>
      <c r="Q45" t="str">
        <f>"190730N"</f>
        <v>190730N</v>
      </c>
      <c r="R45" t="str">
        <f>"190730N"</f>
        <v>190730N</v>
      </c>
      <c r="S45" t="str">
        <f>""</f>
        <v/>
      </c>
      <c r="T45" t="str">
        <f>"31 Jul 2019 04:00"</f>
        <v>31 Jul 2019 04:00</v>
      </c>
      <c r="U45" t="str">
        <f>"31 Jul 2019 06:00"</f>
        <v>31 Jul 2019 06:00</v>
      </c>
      <c r="V45" t="str">
        <f>"2h"</f>
        <v>2h</v>
      </c>
      <c r="W45" t="str">
        <f>"31 Jul 2019 04:00"</f>
        <v>31 Jul 2019 04:00</v>
      </c>
      <c r="X45" t="str">
        <f>""</f>
        <v/>
      </c>
      <c r="Y45" t="str">
        <f>"31 Jul 2019 06:00"</f>
        <v>31 Jul 2019 06:00</v>
      </c>
      <c r="Z45" t="str">
        <f>""</f>
        <v/>
      </c>
      <c r="AA45" t="str">
        <f>""</f>
        <v/>
      </c>
      <c r="AB45" t="str">
        <f t="shared" si="3"/>
        <v>NN</v>
      </c>
      <c r="AC45" t="str">
        <f>"LL"</f>
        <v>LL</v>
      </c>
      <c r="AD45" t="str">
        <f t="shared" si="40"/>
        <v>0</v>
      </c>
      <c r="AE45" t="str">
        <f t="shared" si="40"/>
        <v>0</v>
      </c>
      <c r="AF45" t="str">
        <f>"31 Jul 2019 04:00"</f>
        <v>31 Jul 2019 04:00</v>
      </c>
      <c r="AG45" t="str">
        <f>"31 Jul 2019 04:00"</f>
        <v>31 Jul 2019 04:00</v>
      </c>
      <c r="AH45" t="str">
        <f>"31 Jul 2019 04:00"</f>
        <v>31 Jul 2019 04:00</v>
      </c>
      <c r="AI45" t="str">
        <f>"31 Jul 2019 04:00"</f>
        <v>31 Jul 2019 04:00</v>
      </c>
      <c r="AJ45" t="str">
        <f>"31 Jul 2019 04:00"</f>
        <v>31 Jul 2019 04:00</v>
      </c>
      <c r="AK45" t="str">
        <f t="shared" ref="AK45:AP45" si="43">"30 Jul 2019 14:00"</f>
        <v>30 Jul 2019 14:00</v>
      </c>
      <c r="AL45" t="str">
        <f t="shared" si="43"/>
        <v>30 Jul 2019 14:00</v>
      </c>
      <c r="AM45" t="str">
        <f t="shared" si="43"/>
        <v>30 Jul 2019 14:00</v>
      </c>
      <c r="AN45" t="str">
        <f t="shared" si="43"/>
        <v>30 Jul 2019 14:00</v>
      </c>
      <c r="AO45" t="str">
        <f t="shared" si="43"/>
        <v>30 Jul 2019 14:00</v>
      </c>
      <c r="AP45" t="str">
        <f t="shared" si="43"/>
        <v>30 Jul 2019 14:00</v>
      </c>
      <c r="AQ45" t="str">
        <f>"31 Jul 2019 04:00"</f>
        <v>31 Jul 2019 04:00</v>
      </c>
      <c r="AR45" t="str">
        <f t="shared" si="38"/>
        <v>Y</v>
      </c>
      <c r="AS45" t="str">
        <f t="shared" si="38"/>
        <v>Y</v>
      </c>
      <c r="AT45" t="str">
        <f t="shared" si="38"/>
        <v>Y</v>
      </c>
      <c r="AU45" t="str">
        <f t="shared" si="41"/>
        <v>N</v>
      </c>
      <c r="AV45" t="str">
        <f t="shared" si="41"/>
        <v>N</v>
      </c>
      <c r="AW45" t="str">
        <f>""</f>
        <v/>
      </c>
      <c r="AX45" t="str">
        <f t="shared" si="6"/>
        <v>No</v>
      </c>
      <c r="AY45" t="str">
        <f>""</f>
        <v/>
      </c>
      <c r="AZ45" t="s">
        <v>12</v>
      </c>
      <c r="BA45" t="s">
        <v>110</v>
      </c>
      <c r="BB45" t="s">
        <v>110</v>
      </c>
    </row>
    <row r="46" spans="1:54">
      <c r="A46" s="7" t="str">
        <f t="shared" si="7"/>
        <v>PHKG3WF102S</v>
      </c>
      <c r="B46" s="8" t="e">
        <f t="shared" si="8"/>
        <v>#VALUE!</v>
      </c>
      <c r="C46" t="str">
        <f t="shared" si="23"/>
        <v>PHKG</v>
      </c>
      <c r="D46" t="str">
        <f>"3WF"</f>
        <v>3WF</v>
      </c>
      <c r="E46" t="str">
        <f>"ZHONG YUN 313"</f>
        <v>ZHONG YUN 313</v>
      </c>
      <c r="F46" t="str">
        <f>""</f>
        <v/>
      </c>
      <c r="G46" t="str">
        <f t="shared" si="0"/>
        <v>OOCL</v>
      </c>
      <c r="H46" t="str">
        <f>""</f>
        <v/>
      </c>
      <c r="I46" t="str">
        <f>"102"</f>
        <v>102</v>
      </c>
      <c r="J46" t="str">
        <f t="shared" ref="J46:J56" si="44">"S"</f>
        <v>S</v>
      </c>
      <c r="K46" t="str">
        <f>"3"</f>
        <v>3</v>
      </c>
      <c r="L46" t="str">
        <f>"HKG02"</f>
        <v>HKG02</v>
      </c>
      <c r="M46" t="str">
        <f>"HIT - Hongkong International Terminals"</f>
        <v>HIT - Hongkong International Terminals</v>
      </c>
      <c r="N46" t="str">
        <f t="shared" si="1"/>
        <v>HKG</v>
      </c>
      <c r="O46" t="str">
        <f>"1"</f>
        <v>1</v>
      </c>
      <c r="P46" t="str">
        <f>""</f>
        <v/>
      </c>
      <c r="Q46" t="str">
        <f>"102S"</f>
        <v>102S</v>
      </c>
      <c r="R46" t="str">
        <f>"102S"</f>
        <v>102S</v>
      </c>
      <c r="S46" t="str">
        <f>""</f>
        <v/>
      </c>
      <c r="T46" t="str">
        <f>"31 Jul 2019 06:00"</f>
        <v>31 Jul 2019 06:00</v>
      </c>
      <c r="U46" t="str">
        <f>"31 Jul 2019 07:00"</f>
        <v>31 Jul 2019 07:00</v>
      </c>
      <c r="V46" t="str">
        <f t="shared" ref="V46:V63" si="45">"1h"</f>
        <v>1h</v>
      </c>
      <c r="W46" t="str">
        <f>"31 Jul 2019 06:00"</f>
        <v>31 Jul 2019 06:00</v>
      </c>
      <c r="X46" t="str">
        <f>"31 Jul 2019 08:34"</f>
        <v>31 Jul 2019 08:34</v>
      </c>
      <c r="Y46" t="str">
        <f>"31 Jul 2019 07:00"</f>
        <v>31 Jul 2019 07:00</v>
      </c>
      <c r="Z46" t="str">
        <f>"31 Jul 2019 10:50"</f>
        <v>31 Jul 2019 10:50</v>
      </c>
      <c r="AA46" t="str">
        <f>"2h 16m"</f>
        <v>2h 16m</v>
      </c>
      <c r="AB46" t="str">
        <f t="shared" si="3"/>
        <v>NN</v>
      </c>
      <c r="AC46" t="str">
        <f>"AA"</f>
        <v>AA</v>
      </c>
      <c r="AD46" t="str">
        <f>"3"</f>
        <v>3</v>
      </c>
      <c r="AE46" t="str">
        <f>"4"</f>
        <v>4</v>
      </c>
      <c r="AF46" t="str">
        <f>"01 Aug 2019 06:00"</f>
        <v>01 Aug 2019 06:00</v>
      </c>
      <c r="AG46" t="str">
        <f>"01 Aug 2019 06:00"</f>
        <v>01 Aug 2019 06:00</v>
      </c>
      <c r="AH46" t="str">
        <f>"01 Aug 2019 06:00"</f>
        <v>01 Aug 2019 06:00</v>
      </c>
      <c r="AI46" t="str">
        <f>"01 Aug 2019 06:00"</f>
        <v>01 Aug 2019 06:00</v>
      </c>
      <c r="AJ46" t="str">
        <f>"01 Aug 2019 06:00"</f>
        <v>01 Aug 2019 06:00</v>
      </c>
      <c r="AK46" t="str">
        <f>"31 Jul 2019 07:00"</f>
        <v>31 Jul 2019 07:00</v>
      </c>
      <c r="AL46" t="str">
        <f>"31 Jul 2019 07:00"</f>
        <v>31 Jul 2019 07:00</v>
      </c>
      <c r="AM46" t="str">
        <f>"31 Jul 2019 07:00"</f>
        <v>31 Jul 2019 07:00</v>
      </c>
      <c r="AN46" t="str">
        <f>"31 Jul 2019 07:00"</f>
        <v>31 Jul 2019 07:00</v>
      </c>
      <c r="AO46" t="str">
        <f>"31 Jul 2019 07:00"</f>
        <v>31 Jul 2019 07:00</v>
      </c>
      <c r="AP46" t="str">
        <f>""</f>
        <v/>
      </c>
      <c r="AQ46" t="str">
        <f>"31 Jul 2019 10:50"</f>
        <v>31 Jul 2019 10:50</v>
      </c>
      <c r="AR46" t="str">
        <f t="shared" si="38"/>
        <v>Y</v>
      </c>
      <c r="AS46" t="str">
        <f t="shared" si="38"/>
        <v>Y</v>
      </c>
      <c r="AT46" t="str">
        <f t="shared" si="38"/>
        <v>Y</v>
      </c>
      <c r="AU46" t="str">
        <f t="shared" si="41"/>
        <v>N</v>
      </c>
      <c r="AV46" t="str">
        <f t="shared" si="41"/>
        <v>N</v>
      </c>
      <c r="AW46" t="str">
        <f>""</f>
        <v/>
      </c>
      <c r="AX46" t="str">
        <f t="shared" si="6"/>
        <v>No</v>
      </c>
      <c r="AY46" t="str">
        <f>""</f>
        <v/>
      </c>
      <c r="AZ46" t="s">
        <v>12</v>
      </c>
      <c r="BA46" t="s">
        <v>110</v>
      </c>
      <c r="BB46" t="s">
        <v>110</v>
      </c>
    </row>
    <row r="47" spans="1:54">
      <c r="A47" s="7" t="str">
        <f t="shared" si="7"/>
        <v>PHKG5WL084S</v>
      </c>
      <c r="B47" s="8" t="e">
        <f t="shared" si="8"/>
        <v>#VALUE!</v>
      </c>
      <c r="C47" t="str">
        <f t="shared" si="23"/>
        <v>PHKG</v>
      </c>
      <c r="D47" t="str">
        <f>"5WL"</f>
        <v>5WL</v>
      </c>
      <c r="E47" t="str">
        <f>"ZHONG YUN 205"</f>
        <v>ZHONG YUN 205</v>
      </c>
      <c r="F47" t="str">
        <f>""</f>
        <v/>
      </c>
      <c r="G47" t="str">
        <f t="shared" si="0"/>
        <v>OOCL</v>
      </c>
      <c r="H47" t="str">
        <f>""</f>
        <v/>
      </c>
      <c r="I47" t="str">
        <f>"084"</f>
        <v>084</v>
      </c>
      <c r="J47" t="str">
        <f t="shared" si="44"/>
        <v>S</v>
      </c>
      <c r="K47" t="str">
        <f>"3"</f>
        <v>3</v>
      </c>
      <c r="L47" t="str">
        <f>"HKG01"</f>
        <v>HKG01</v>
      </c>
      <c r="M47" t="str">
        <f>"Modern Terminal Limited (MTL)"</f>
        <v>Modern Terminal Limited (MTL)</v>
      </c>
      <c r="N47" t="str">
        <f t="shared" si="1"/>
        <v>HKG</v>
      </c>
      <c r="O47" t="str">
        <f>"1"</f>
        <v>1</v>
      </c>
      <c r="P47" t="str">
        <f>""</f>
        <v/>
      </c>
      <c r="Q47" t="str">
        <f>"084S"</f>
        <v>084S</v>
      </c>
      <c r="R47" t="str">
        <f>"084S"</f>
        <v>084S</v>
      </c>
      <c r="S47" t="str">
        <f>""</f>
        <v/>
      </c>
      <c r="T47" t="str">
        <f>"31 Jul 2019 06:00"</f>
        <v>31 Jul 2019 06:00</v>
      </c>
      <c r="U47" t="str">
        <f>"31 Jul 2019 07:00"</f>
        <v>31 Jul 2019 07:00</v>
      </c>
      <c r="V47" t="str">
        <f t="shared" si="45"/>
        <v>1h</v>
      </c>
      <c r="W47" t="str">
        <f>"31 Jul 2019 06:00"</f>
        <v>31 Jul 2019 06:00</v>
      </c>
      <c r="X47" t="str">
        <f>""</f>
        <v/>
      </c>
      <c r="Y47" t="str">
        <f>"31 Jul 2019 07:00"</f>
        <v>31 Jul 2019 07:00</v>
      </c>
      <c r="Z47" t="str">
        <f>""</f>
        <v/>
      </c>
      <c r="AA47" t="str">
        <f>""</f>
        <v/>
      </c>
      <c r="AB47" t="str">
        <f t="shared" si="3"/>
        <v>NN</v>
      </c>
      <c r="AC47" t="str">
        <f>"LL"</f>
        <v>LL</v>
      </c>
      <c r="AD47" t="str">
        <f>"0"</f>
        <v>0</v>
      </c>
      <c r="AE47" t="str">
        <f>"0"</f>
        <v>0</v>
      </c>
      <c r="AF47" t="str">
        <f t="shared" ref="AF47:AO47" si="46">"31 Jul 2019 06:00"</f>
        <v>31 Jul 2019 06:00</v>
      </c>
      <c r="AG47" t="str">
        <f t="shared" si="46"/>
        <v>31 Jul 2019 06:00</v>
      </c>
      <c r="AH47" t="str">
        <f t="shared" si="46"/>
        <v>31 Jul 2019 06:00</v>
      </c>
      <c r="AI47" t="str">
        <f t="shared" si="46"/>
        <v>31 Jul 2019 06:00</v>
      </c>
      <c r="AJ47" t="str">
        <f t="shared" si="46"/>
        <v>31 Jul 2019 06:00</v>
      </c>
      <c r="AK47" t="str">
        <f t="shared" si="46"/>
        <v>31 Jul 2019 06:00</v>
      </c>
      <c r="AL47" t="str">
        <f t="shared" si="46"/>
        <v>31 Jul 2019 06:00</v>
      </c>
      <c r="AM47" t="str">
        <f t="shared" si="46"/>
        <v>31 Jul 2019 06:00</v>
      </c>
      <c r="AN47" t="str">
        <f t="shared" si="46"/>
        <v>31 Jul 2019 06:00</v>
      </c>
      <c r="AO47" t="str">
        <f t="shared" si="46"/>
        <v>31 Jul 2019 06:00</v>
      </c>
      <c r="AP47" t="str">
        <f>""</f>
        <v/>
      </c>
      <c r="AQ47" t="str">
        <f>"31 Jul 2019 06:00"</f>
        <v>31 Jul 2019 06:00</v>
      </c>
      <c r="AR47" t="str">
        <f t="shared" si="38"/>
        <v>Y</v>
      </c>
      <c r="AS47" t="str">
        <f t="shared" si="38"/>
        <v>Y</v>
      </c>
      <c r="AT47" t="str">
        <f t="shared" si="38"/>
        <v>Y</v>
      </c>
      <c r="AU47" t="str">
        <f t="shared" si="41"/>
        <v>N</v>
      </c>
      <c r="AV47" t="str">
        <f t="shared" si="41"/>
        <v>N</v>
      </c>
      <c r="AW47" t="str">
        <f>""</f>
        <v/>
      </c>
      <c r="AX47" t="str">
        <f t="shared" si="6"/>
        <v>No</v>
      </c>
      <c r="AY47" t="str">
        <f>""</f>
        <v/>
      </c>
      <c r="AZ47" t="s">
        <v>12</v>
      </c>
      <c r="BA47" t="s">
        <v>110</v>
      </c>
      <c r="BB47" t="s">
        <v>110</v>
      </c>
    </row>
    <row r="48" spans="1:54">
      <c r="A48" s="7" t="str">
        <f t="shared" si="7"/>
        <v>PHKG5WL084S</v>
      </c>
      <c r="B48" s="8" t="e">
        <f t="shared" si="8"/>
        <v>#VALUE!</v>
      </c>
      <c r="C48" t="str">
        <f t="shared" si="23"/>
        <v>PHKG</v>
      </c>
      <c r="D48" t="str">
        <f>"5WL"</f>
        <v>5WL</v>
      </c>
      <c r="E48" t="str">
        <f>"ZHONG YUN 205"</f>
        <v>ZHONG YUN 205</v>
      </c>
      <c r="F48" t="str">
        <f>""</f>
        <v/>
      </c>
      <c r="G48" t="str">
        <f t="shared" si="0"/>
        <v>OOCL</v>
      </c>
      <c r="H48" t="str">
        <f>""</f>
        <v/>
      </c>
      <c r="I48" t="str">
        <f>"084"</f>
        <v>084</v>
      </c>
      <c r="J48" t="str">
        <f t="shared" si="44"/>
        <v>S</v>
      </c>
      <c r="K48" t="str">
        <f>"4"</f>
        <v>4</v>
      </c>
      <c r="L48" t="str">
        <f>"HKG02"</f>
        <v>HKG02</v>
      </c>
      <c r="M48" t="str">
        <f>"HIT - Hongkong International Terminals"</f>
        <v>HIT - Hongkong International Terminals</v>
      </c>
      <c r="N48" t="str">
        <f t="shared" si="1"/>
        <v>HKG</v>
      </c>
      <c r="O48" t="str">
        <f>"2"</f>
        <v>2</v>
      </c>
      <c r="P48" t="str">
        <f>""</f>
        <v/>
      </c>
      <c r="Q48" t="str">
        <f>"084S"</f>
        <v>084S</v>
      </c>
      <c r="R48" t="str">
        <f>"084S"</f>
        <v>084S</v>
      </c>
      <c r="S48" t="str">
        <f>""</f>
        <v/>
      </c>
      <c r="T48" t="str">
        <f>"31 Jul 2019 08:00"</f>
        <v>31 Jul 2019 08:00</v>
      </c>
      <c r="U48" t="str">
        <f>"31 Jul 2019 09:00"</f>
        <v>31 Jul 2019 09:00</v>
      </c>
      <c r="V48" t="str">
        <f t="shared" si="45"/>
        <v>1h</v>
      </c>
      <c r="W48" t="str">
        <f>"31 Jul 2019 08:00"</f>
        <v>31 Jul 2019 08:00</v>
      </c>
      <c r="X48" t="str">
        <f>""</f>
        <v/>
      </c>
      <c r="Y48" t="str">
        <f>"31 Jul 2019 09:00"</f>
        <v>31 Jul 2019 09:00</v>
      </c>
      <c r="Z48" t="str">
        <f>""</f>
        <v/>
      </c>
      <c r="AA48" t="str">
        <f>""</f>
        <v/>
      </c>
      <c r="AB48" t="str">
        <f t="shared" si="3"/>
        <v>NN</v>
      </c>
      <c r="AC48" t="str">
        <f>"LL"</f>
        <v>LL</v>
      </c>
      <c r="AD48" t="str">
        <f>"0"</f>
        <v>0</v>
      </c>
      <c r="AE48" t="str">
        <f>"0"</f>
        <v>0</v>
      </c>
      <c r="AF48" t="str">
        <f t="shared" ref="AF48:AO50" si="47">"31 Jul 2019 08:00"</f>
        <v>31 Jul 2019 08:00</v>
      </c>
      <c r="AG48" t="str">
        <f t="shared" si="47"/>
        <v>31 Jul 2019 08:00</v>
      </c>
      <c r="AH48" t="str">
        <f t="shared" si="47"/>
        <v>31 Jul 2019 08:00</v>
      </c>
      <c r="AI48" t="str">
        <f t="shared" si="47"/>
        <v>31 Jul 2019 08:00</v>
      </c>
      <c r="AJ48" t="str">
        <f t="shared" si="47"/>
        <v>31 Jul 2019 08:00</v>
      </c>
      <c r="AK48" t="str">
        <f t="shared" si="47"/>
        <v>31 Jul 2019 08:00</v>
      </c>
      <c r="AL48" t="str">
        <f t="shared" si="47"/>
        <v>31 Jul 2019 08:00</v>
      </c>
      <c r="AM48" t="str">
        <f t="shared" si="47"/>
        <v>31 Jul 2019 08:00</v>
      </c>
      <c r="AN48" t="str">
        <f t="shared" si="47"/>
        <v>31 Jul 2019 08:00</v>
      </c>
      <c r="AO48" t="str">
        <f t="shared" si="47"/>
        <v>31 Jul 2019 08:00</v>
      </c>
      <c r="AP48" t="str">
        <f>""</f>
        <v/>
      </c>
      <c r="AQ48" t="str">
        <f>"31 Jul 2019 08:00"</f>
        <v>31 Jul 2019 08:00</v>
      </c>
      <c r="AR48" t="str">
        <f t="shared" si="38"/>
        <v>Y</v>
      </c>
      <c r="AS48" t="str">
        <f t="shared" si="38"/>
        <v>Y</v>
      </c>
      <c r="AT48" t="str">
        <f t="shared" si="38"/>
        <v>Y</v>
      </c>
      <c r="AU48" t="str">
        <f t="shared" si="41"/>
        <v>N</v>
      </c>
      <c r="AV48" t="str">
        <f t="shared" si="41"/>
        <v>N</v>
      </c>
      <c r="AW48" t="str">
        <f>""</f>
        <v/>
      </c>
      <c r="AX48" t="str">
        <f t="shared" si="6"/>
        <v>No</v>
      </c>
      <c r="AY48" t="str">
        <f>""</f>
        <v/>
      </c>
      <c r="AZ48" t="s">
        <v>12</v>
      </c>
      <c r="BA48" t="s">
        <v>110</v>
      </c>
      <c r="BB48" t="s">
        <v>110</v>
      </c>
    </row>
    <row r="49" spans="1:54">
      <c r="A49" s="7" t="str">
        <f t="shared" si="7"/>
        <v>PHKG6FY344S</v>
      </c>
      <c r="B49" s="8" t="e">
        <f t="shared" si="8"/>
        <v>#VALUE!</v>
      </c>
      <c r="C49" t="str">
        <f t="shared" si="23"/>
        <v>PHKG</v>
      </c>
      <c r="D49" t="str">
        <f>"6FY"</f>
        <v>6FY</v>
      </c>
      <c r="E49" t="str">
        <f>"ZHONG HANG 936"</f>
        <v>ZHONG HANG 936</v>
      </c>
      <c r="F49" t="str">
        <f>""</f>
        <v/>
      </c>
      <c r="G49" t="str">
        <f t="shared" si="0"/>
        <v>OOCL</v>
      </c>
      <c r="H49" t="str">
        <f>""</f>
        <v/>
      </c>
      <c r="I49" t="str">
        <f>"344"</f>
        <v>344</v>
      </c>
      <c r="J49" t="str">
        <f t="shared" si="44"/>
        <v>S</v>
      </c>
      <c r="K49" t="str">
        <f t="shared" ref="K49:K55" si="48">"2"</f>
        <v>2</v>
      </c>
      <c r="L49" t="str">
        <f>"HKG02"</f>
        <v>HKG02</v>
      </c>
      <c r="M49" t="str">
        <f>"HIT - Hongkong International Terminals"</f>
        <v>HIT - Hongkong International Terminals</v>
      </c>
      <c r="N49" t="str">
        <f t="shared" si="1"/>
        <v>HKG</v>
      </c>
      <c r="O49" t="str">
        <f t="shared" ref="O49:O55" si="49">"1"</f>
        <v>1</v>
      </c>
      <c r="P49" t="str">
        <f>""</f>
        <v/>
      </c>
      <c r="Q49" t="str">
        <f>"344S"</f>
        <v>344S</v>
      </c>
      <c r="R49" t="str">
        <f>"344S"</f>
        <v>344S</v>
      </c>
      <c r="S49" t="str">
        <f>""</f>
        <v/>
      </c>
      <c r="T49" t="str">
        <f>"31 Jul 2019 06:00"</f>
        <v>31 Jul 2019 06:00</v>
      </c>
      <c r="U49" t="str">
        <f>"31 Jul 2019 07:00"</f>
        <v>31 Jul 2019 07:00</v>
      </c>
      <c r="V49" t="str">
        <f t="shared" si="45"/>
        <v>1h</v>
      </c>
      <c r="W49" t="str">
        <f>"31 Jul 2019 06:00"</f>
        <v>31 Jul 2019 06:00</v>
      </c>
      <c r="X49" t="str">
        <f>"31 Jul 2019 08:00"</f>
        <v>31 Jul 2019 08:00</v>
      </c>
      <c r="Y49" t="str">
        <f>"31 Jul 2019 07:00"</f>
        <v>31 Jul 2019 07:00</v>
      </c>
      <c r="Z49" t="str">
        <f>"31 Jul 2019 10:00"</f>
        <v>31 Jul 2019 10:00</v>
      </c>
      <c r="AA49" t="str">
        <f>"2h"</f>
        <v>2h</v>
      </c>
      <c r="AB49" t="str">
        <f t="shared" si="3"/>
        <v>NN</v>
      </c>
      <c r="AC49" t="str">
        <f>"AA"</f>
        <v>AA</v>
      </c>
      <c r="AD49" t="str">
        <f>"2"</f>
        <v>2</v>
      </c>
      <c r="AE49" t="str">
        <f>"3"</f>
        <v>3</v>
      </c>
      <c r="AF49" t="str">
        <f t="shared" si="47"/>
        <v>31 Jul 2019 08:00</v>
      </c>
      <c r="AG49" t="str">
        <f t="shared" si="47"/>
        <v>31 Jul 2019 08:00</v>
      </c>
      <c r="AH49" t="str">
        <f t="shared" si="47"/>
        <v>31 Jul 2019 08:00</v>
      </c>
      <c r="AI49" t="str">
        <f t="shared" si="47"/>
        <v>31 Jul 2019 08:00</v>
      </c>
      <c r="AJ49" t="str">
        <f t="shared" si="47"/>
        <v>31 Jul 2019 08:00</v>
      </c>
      <c r="AK49" t="str">
        <f>"31 Jul 2019 07:00"</f>
        <v>31 Jul 2019 07:00</v>
      </c>
      <c r="AL49" t="str">
        <f>"31 Jul 2019 07:00"</f>
        <v>31 Jul 2019 07:00</v>
      </c>
      <c r="AM49" t="str">
        <f>"31 Jul 2019 07:00"</f>
        <v>31 Jul 2019 07:00</v>
      </c>
      <c r="AN49" t="str">
        <f>"31 Jul 2019 07:00"</f>
        <v>31 Jul 2019 07:00</v>
      </c>
      <c r="AO49" t="str">
        <f>"31 Jul 2019 07:00"</f>
        <v>31 Jul 2019 07:00</v>
      </c>
      <c r="AP49" t="str">
        <f>""</f>
        <v/>
      </c>
      <c r="AQ49" t="str">
        <f>"31 Jul 2019 09:00"</f>
        <v>31 Jul 2019 09:00</v>
      </c>
      <c r="AR49" t="str">
        <f t="shared" si="38"/>
        <v>Y</v>
      </c>
      <c r="AS49" t="str">
        <f t="shared" si="38"/>
        <v>Y</v>
      </c>
      <c r="AT49" t="str">
        <f t="shared" si="38"/>
        <v>Y</v>
      </c>
      <c r="AU49" t="str">
        <f t="shared" si="41"/>
        <v>N</v>
      </c>
      <c r="AV49" t="str">
        <f t="shared" si="41"/>
        <v>N</v>
      </c>
      <c r="AW49" t="str">
        <f>""</f>
        <v/>
      </c>
      <c r="AX49" t="str">
        <f t="shared" si="6"/>
        <v>No</v>
      </c>
      <c r="AY49" t="str">
        <f>""</f>
        <v/>
      </c>
      <c r="AZ49" t="s">
        <v>12</v>
      </c>
      <c r="BA49" t="s">
        <v>110</v>
      </c>
      <c r="BB49" t="s">
        <v>110</v>
      </c>
    </row>
    <row r="50" spans="1:54">
      <c r="A50" s="7" t="str">
        <f t="shared" si="7"/>
        <v>PHKG6WV010S</v>
      </c>
      <c r="B50" s="8" t="e">
        <f t="shared" si="8"/>
        <v>#VALUE!</v>
      </c>
      <c r="C50" t="str">
        <f t="shared" si="23"/>
        <v>PHKG</v>
      </c>
      <c r="D50" t="str">
        <f>"6WV"</f>
        <v>6WV</v>
      </c>
      <c r="E50" t="str">
        <f>"ZHONG HANG 906"</f>
        <v>ZHONG HANG 906</v>
      </c>
      <c r="F50" t="str">
        <f>""</f>
        <v/>
      </c>
      <c r="G50" t="str">
        <f t="shared" si="0"/>
        <v>OOCL</v>
      </c>
      <c r="H50" t="str">
        <f>""</f>
        <v/>
      </c>
      <c r="I50" t="str">
        <f>"010"</f>
        <v>010</v>
      </c>
      <c r="J50" t="str">
        <f t="shared" si="44"/>
        <v>S</v>
      </c>
      <c r="K50" t="str">
        <f t="shared" si="48"/>
        <v>2</v>
      </c>
      <c r="L50" t="str">
        <f>"HKG02"</f>
        <v>HKG02</v>
      </c>
      <c r="M50" t="str">
        <f>"HIT - Hongkong International Terminals"</f>
        <v>HIT - Hongkong International Terminals</v>
      </c>
      <c r="N50" t="str">
        <f t="shared" si="1"/>
        <v>HKG</v>
      </c>
      <c r="O50" t="str">
        <f t="shared" si="49"/>
        <v>1</v>
      </c>
      <c r="P50" t="str">
        <f>""</f>
        <v/>
      </c>
      <c r="Q50" t="str">
        <f>"010S"</f>
        <v>010S</v>
      </c>
      <c r="R50" t="str">
        <f>"010S"</f>
        <v>010S</v>
      </c>
      <c r="S50" t="str">
        <f>""</f>
        <v/>
      </c>
      <c r="T50" t="str">
        <f>"31 Jul 2019 08:00"</f>
        <v>31 Jul 2019 08:00</v>
      </c>
      <c r="U50" t="str">
        <f>"31 Jul 2019 09:00"</f>
        <v>31 Jul 2019 09:00</v>
      </c>
      <c r="V50" t="str">
        <f t="shared" si="45"/>
        <v>1h</v>
      </c>
      <c r="W50" t="str">
        <f>"31 Jul 2019 08:00"</f>
        <v>31 Jul 2019 08:00</v>
      </c>
      <c r="X50" t="str">
        <f>""</f>
        <v/>
      </c>
      <c r="Y50" t="str">
        <f>"31 Jul 2019 09:00"</f>
        <v>31 Jul 2019 09:00</v>
      </c>
      <c r="Z50" t="str">
        <f>""</f>
        <v/>
      </c>
      <c r="AA50" t="str">
        <f>""</f>
        <v/>
      </c>
      <c r="AB50" t="str">
        <f t="shared" si="3"/>
        <v>NN</v>
      </c>
      <c r="AC50" t="str">
        <f>"LL"</f>
        <v>LL</v>
      </c>
      <c r="AD50" t="str">
        <f t="shared" ref="AD50:AE53" si="50">"0"</f>
        <v>0</v>
      </c>
      <c r="AE50" t="str">
        <f t="shared" si="50"/>
        <v>0</v>
      </c>
      <c r="AF50" t="str">
        <f t="shared" si="47"/>
        <v>31 Jul 2019 08:00</v>
      </c>
      <c r="AG50" t="str">
        <f t="shared" si="47"/>
        <v>31 Jul 2019 08:00</v>
      </c>
      <c r="AH50" t="str">
        <f t="shared" si="47"/>
        <v>31 Jul 2019 08:00</v>
      </c>
      <c r="AI50" t="str">
        <f t="shared" si="47"/>
        <v>31 Jul 2019 08:00</v>
      </c>
      <c r="AJ50" t="str">
        <f t="shared" si="47"/>
        <v>31 Jul 2019 08:00</v>
      </c>
      <c r="AK50" t="str">
        <f>"31 Jul 2019 09:00"</f>
        <v>31 Jul 2019 09:00</v>
      </c>
      <c r="AL50" t="str">
        <f>"31 Jul 2019 09:00"</f>
        <v>31 Jul 2019 09:00</v>
      </c>
      <c r="AM50" t="str">
        <f>"31 Jul 2019 09:00"</f>
        <v>31 Jul 2019 09:00</v>
      </c>
      <c r="AN50" t="str">
        <f>"31 Jul 2019 09:00"</f>
        <v>31 Jul 2019 09:00</v>
      </c>
      <c r="AO50" t="str">
        <f>"31 Jul 2019 09:00"</f>
        <v>31 Jul 2019 09:00</v>
      </c>
      <c r="AP50" t="str">
        <f>""</f>
        <v/>
      </c>
      <c r="AQ50" t="str">
        <f>"31 Jul 2019 08:00"</f>
        <v>31 Jul 2019 08:00</v>
      </c>
      <c r="AR50" t="str">
        <f t="shared" si="38"/>
        <v>Y</v>
      </c>
      <c r="AS50" t="str">
        <f t="shared" si="38"/>
        <v>Y</v>
      </c>
      <c r="AT50" t="str">
        <f t="shared" si="38"/>
        <v>Y</v>
      </c>
      <c r="AU50" t="str">
        <f t="shared" si="41"/>
        <v>N</v>
      </c>
      <c r="AV50" t="str">
        <f t="shared" si="41"/>
        <v>N</v>
      </c>
      <c r="AW50" t="str">
        <f>""</f>
        <v/>
      </c>
      <c r="AX50" t="str">
        <f t="shared" si="6"/>
        <v>No</v>
      </c>
      <c r="AY50" t="str">
        <f>""</f>
        <v/>
      </c>
      <c r="AZ50" t="s">
        <v>12</v>
      </c>
      <c r="BA50" t="s">
        <v>110</v>
      </c>
      <c r="BB50" t="s">
        <v>110</v>
      </c>
    </row>
    <row r="51" spans="1:54">
      <c r="A51" s="7" t="str">
        <f t="shared" si="7"/>
        <v>PHKG1RK119S</v>
      </c>
      <c r="B51" s="8" t="e">
        <f t="shared" si="8"/>
        <v>#VALUE!</v>
      </c>
      <c r="C51" t="str">
        <f t="shared" si="23"/>
        <v>PHKG</v>
      </c>
      <c r="D51" t="str">
        <f>"1RK"</f>
        <v>1RK</v>
      </c>
      <c r="E51" t="str">
        <f>"YUE AN YUN 13"</f>
        <v>YUE AN YUN 13</v>
      </c>
      <c r="F51" t="str">
        <f>""</f>
        <v/>
      </c>
      <c r="G51" t="str">
        <f t="shared" si="0"/>
        <v>OOCL</v>
      </c>
      <c r="H51" t="str">
        <f>""</f>
        <v/>
      </c>
      <c r="I51" t="str">
        <f>"119"</f>
        <v>119</v>
      </c>
      <c r="J51" t="str">
        <f t="shared" si="44"/>
        <v>S</v>
      </c>
      <c r="K51" t="str">
        <f t="shared" si="48"/>
        <v>2</v>
      </c>
      <c r="L51" t="str">
        <f>"HKG02"</f>
        <v>HKG02</v>
      </c>
      <c r="M51" t="str">
        <f>"HIT - Hongkong International Terminals"</f>
        <v>HIT - Hongkong International Terminals</v>
      </c>
      <c r="N51" t="str">
        <f t="shared" si="1"/>
        <v>HKG</v>
      </c>
      <c r="O51" t="str">
        <f t="shared" si="49"/>
        <v>1</v>
      </c>
      <c r="P51" t="str">
        <f>""</f>
        <v/>
      </c>
      <c r="Q51" t="str">
        <f>"119S"</f>
        <v>119S</v>
      </c>
      <c r="R51" t="str">
        <f>"119S"</f>
        <v>119S</v>
      </c>
      <c r="S51" t="str">
        <f>""</f>
        <v/>
      </c>
      <c r="T51" t="str">
        <f>"31 Jul 2019 09:00"</f>
        <v>31 Jul 2019 09:00</v>
      </c>
      <c r="U51" t="str">
        <f>"31 Jul 2019 10:00"</f>
        <v>31 Jul 2019 10:00</v>
      </c>
      <c r="V51" t="str">
        <f t="shared" si="45"/>
        <v>1h</v>
      </c>
      <c r="W51" t="str">
        <f>"31 Jul 2019 09:00"</f>
        <v>31 Jul 2019 09:00</v>
      </c>
      <c r="X51" t="str">
        <f>""</f>
        <v/>
      </c>
      <c r="Y51" t="str">
        <f>"31 Jul 2019 10:00"</f>
        <v>31 Jul 2019 10:00</v>
      </c>
      <c r="Z51" t="str">
        <f>""</f>
        <v/>
      </c>
      <c r="AA51" t="str">
        <f>""</f>
        <v/>
      </c>
      <c r="AB51" t="str">
        <f t="shared" si="3"/>
        <v>NN</v>
      </c>
      <c r="AC51" t="str">
        <f>"LL"</f>
        <v>LL</v>
      </c>
      <c r="AD51" t="str">
        <f t="shared" si="50"/>
        <v>0</v>
      </c>
      <c r="AE51" t="str">
        <f t="shared" si="50"/>
        <v>0</v>
      </c>
      <c r="AF51" t="str">
        <f t="shared" ref="AF51:AJ53" si="51">"31 Jul 2019 09:00"</f>
        <v>31 Jul 2019 09:00</v>
      </c>
      <c r="AG51" t="str">
        <f t="shared" si="51"/>
        <v>31 Jul 2019 09:00</v>
      </c>
      <c r="AH51" t="str">
        <f t="shared" si="51"/>
        <v>31 Jul 2019 09:00</v>
      </c>
      <c r="AI51" t="str">
        <f t="shared" si="51"/>
        <v>31 Jul 2019 09:00</v>
      </c>
      <c r="AJ51" t="str">
        <f t="shared" si="51"/>
        <v>31 Jul 2019 09:00</v>
      </c>
      <c r="AK51" t="str">
        <f t="shared" ref="AK51:AO53" si="52">"31 Jul 2019 10:00"</f>
        <v>31 Jul 2019 10:00</v>
      </c>
      <c r="AL51" t="str">
        <f t="shared" si="52"/>
        <v>31 Jul 2019 10:00</v>
      </c>
      <c r="AM51" t="str">
        <f t="shared" si="52"/>
        <v>31 Jul 2019 10:00</v>
      </c>
      <c r="AN51" t="str">
        <f t="shared" si="52"/>
        <v>31 Jul 2019 10:00</v>
      </c>
      <c r="AO51" t="str">
        <f t="shared" si="52"/>
        <v>31 Jul 2019 10:00</v>
      </c>
      <c r="AP51" t="str">
        <f>""</f>
        <v/>
      </c>
      <c r="AQ51" t="str">
        <f>"31 Jul 2019 09:00"</f>
        <v>31 Jul 2019 09:00</v>
      </c>
      <c r="AR51" t="str">
        <f t="shared" si="38"/>
        <v>Y</v>
      </c>
      <c r="AS51" t="str">
        <f t="shared" si="38"/>
        <v>Y</v>
      </c>
      <c r="AT51" t="str">
        <f t="shared" si="38"/>
        <v>Y</v>
      </c>
      <c r="AU51" t="str">
        <f t="shared" si="41"/>
        <v>N</v>
      </c>
      <c r="AV51" t="str">
        <f t="shared" si="41"/>
        <v>N</v>
      </c>
      <c r="AW51" t="str">
        <f>""</f>
        <v/>
      </c>
      <c r="AX51" t="str">
        <f t="shared" si="6"/>
        <v>No</v>
      </c>
      <c r="AY51" t="str">
        <f>""</f>
        <v/>
      </c>
      <c r="AZ51" t="s">
        <v>12</v>
      </c>
      <c r="BA51" t="s">
        <v>110</v>
      </c>
      <c r="BB51" t="s">
        <v>110</v>
      </c>
    </row>
    <row r="52" spans="1:54">
      <c r="A52" s="7" t="str">
        <f t="shared" si="7"/>
        <v>PHKG2WE034S</v>
      </c>
      <c r="B52" s="8" t="e">
        <f t="shared" si="8"/>
        <v>#VALUE!</v>
      </c>
      <c r="C52" t="str">
        <f t="shared" si="23"/>
        <v>PHKG</v>
      </c>
      <c r="D52" t="str">
        <f>"2WE"</f>
        <v>2WE</v>
      </c>
      <c r="E52" t="str">
        <f>"SHUN FENG 2018"</f>
        <v>SHUN FENG 2018</v>
      </c>
      <c r="F52" t="str">
        <f>""</f>
        <v/>
      </c>
      <c r="G52" t="str">
        <f t="shared" si="0"/>
        <v>OOCL</v>
      </c>
      <c r="H52" t="str">
        <f>""</f>
        <v/>
      </c>
      <c r="I52" t="str">
        <f>"034"</f>
        <v>034</v>
      </c>
      <c r="J52" t="str">
        <f t="shared" si="44"/>
        <v>S</v>
      </c>
      <c r="K52" t="str">
        <f t="shared" si="48"/>
        <v>2</v>
      </c>
      <c r="L52" t="str">
        <f>"HKG02"</f>
        <v>HKG02</v>
      </c>
      <c r="M52" t="str">
        <f>"HIT - Hongkong International Terminals"</f>
        <v>HIT - Hongkong International Terminals</v>
      </c>
      <c r="N52" t="str">
        <f t="shared" si="1"/>
        <v>HKG</v>
      </c>
      <c r="O52" t="str">
        <f t="shared" si="49"/>
        <v>1</v>
      </c>
      <c r="P52" t="str">
        <f>""</f>
        <v/>
      </c>
      <c r="Q52" t="str">
        <f>"034S"</f>
        <v>034S</v>
      </c>
      <c r="R52" t="str">
        <f>"034S"</f>
        <v>034S</v>
      </c>
      <c r="S52" t="str">
        <f>""</f>
        <v/>
      </c>
      <c r="T52" t="str">
        <f>"31 Jul 2019 09:00"</f>
        <v>31 Jul 2019 09:00</v>
      </c>
      <c r="U52" t="str">
        <f>"31 Jul 2019 10:00"</f>
        <v>31 Jul 2019 10:00</v>
      </c>
      <c r="V52" t="str">
        <f t="shared" si="45"/>
        <v>1h</v>
      </c>
      <c r="W52" t="str">
        <f>"31 Jul 2019 09:00"</f>
        <v>31 Jul 2019 09:00</v>
      </c>
      <c r="X52" t="str">
        <f>""</f>
        <v/>
      </c>
      <c r="Y52" t="str">
        <f>"31 Jul 2019 10:00"</f>
        <v>31 Jul 2019 10:00</v>
      </c>
      <c r="Z52" t="str">
        <f>""</f>
        <v/>
      </c>
      <c r="AA52" t="str">
        <f>""</f>
        <v/>
      </c>
      <c r="AB52" t="str">
        <f t="shared" si="3"/>
        <v>NN</v>
      </c>
      <c r="AC52" t="str">
        <f>"LL"</f>
        <v>LL</v>
      </c>
      <c r="AD52" t="str">
        <f t="shared" si="50"/>
        <v>0</v>
      </c>
      <c r="AE52" t="str">
        <f t="shared" si="50"/>
        <v>0</v>
      </c>
      <c r="AF52" t="str">
        <f t="shared" si="51"/>
        <v>31 Jul 2019 09:00</v>
      </c>
      <c r="AG52" t="str">
        <f t="shared" si="51"/>
        <v>31 Jul 2019 09:00</v>
      </c>
      <c r="AH52" t="str">
        <f t="shared" si="51"/>
        <v>31 Jul 2019 09:00</v>
      </c>
      <c r="AI52" t="str">
        <f t="shared" si="51"/>
        <v>31 Jul 2019 09:00</v>
      </c>
      <c r="AJ52" t="str">
        <f t="shared" si="51"/>
        <v>31 Jul 2019 09:00</v>
      </c>
      <c r="AK52" t="str">
        <f t="shared" si="52"/>
        <v>31 Jul 2019 10:00</v>
      </c>
      <c r="AL52" t="str">
        <f t="shared" si="52"/>
        <v>31 Jul 2019 10:00</v>
      </c>
      <c r="AM52" t="str">
        <f t="shared" si="52"/>
        <v>31 Jul 2019 10:00</v>
      </c>
      <c r="AN52" t="str">
        <f t="shared" si="52"/>
        <v>31 Jul 2019 10:00</v>
      </c>
      <c r="AO52" t="str">
        <f t="shared" si="52"/>
        <v>31 Jul 2019 10:00</v>
      </c>
      <c r="AP52" t="str">
        <f>""</f>
        <v/>
      </c>
      <c r="AQ52" t="str">
        <f>"31 Jul 2019 09:00"</f>
        <v>31 Jul 2019 09:00</v>
      </c>
      <c r="AR52" t="str">
        <f t="shared" si="38"/>
        <v>Y</v>
      </c>
      <c r="AS52" t="str">
        <f t="shared" si="38"/>
        <v>Y</v>
      </c>
      <c r="AT52" t="str">
        <f t="shared" si="38"/>
        <v>Y</v>
      </c>
      <c r="AU52" t="str">
        <f t="shared" si="41"/>
        <v>N</v>
      </c>
      <c r="AV52" t="str">
        <f t="shared" si="41"/>
        <v>N</v>
      </c>
      <c r="AW52" t="str">
        <f>""</f>
        <v/>
      </c>
      <c r="AX52" t="str">
        <f t="shared" si="6"/>
        <v>No</v>
      </c>
      <c r="AY52" t="str">
        <f>""</f>
        <v/>
      </c>
      <c r="AZ52" t="s">
        <v>12</v>
      </c>
      <c r="BA52" t="s">
        <v>110</v>
      </c>
      <c r="BB52" t="s">
        <v>122</v>
      </c>
    </row>
    <row r="53" spans="1:54">
      <c r="A53" s="7" t="str">
        <f t="shared" si="7"/>
        <v>PHKGVO5434S</v>
      </c>
      <c r="B53" s="8" t="e">
        <f t="shared" si="8"/>
        <v>#VALUE!</v>
      </c>
      <c r="C53" t="str">
        <f t="shared" si="23"/>
        <v>PHKG</v>
      </c>
      <c r="D53" t="str">
        <f>"VO5"</f>
        <v>VO5</v>
      </c>
      <c r="E53" t="str">
        <f>"XIE HANG 333"</f>
        <v>XIE HANG 333</v>
      </c>
      <c r="F53" t="str">
        <f>""</f>
        <v/>
      </c>
      <c r="G53" t="str">
        <f t="shared" si="0"/>
        <v>OOCL</v>
      </c>
      <c r="H53" t="str">
        <f>""</f>
        <v/>
      </c>
      <c r="I53" t="str">
        <f>"434"</f>
        <v>434</v>
      </c>
      <c r="J53" t="str">
        <f t="shared" si="44"/>
        <v>S</v>
      </c>
      <c r="K53" t="str">
        <f t="shared" si="48"/>
        <v>2</v>
      </c>
      <c r="L53" t="str">
        <f>"HKG13"</f>
        <v>HKG13</v>
      </c>
      <c r="M53" t="str">
        <f>"River Trade Terminal Co., Ltd"</f>
        <v>River Trade Terminal Co., Ltd</v>
      </c>
      <c r="N53" t="str">
        <f t="shared" si="1"/>
        <v>HKG</v>
      </c>
      <c r="O53" t="str">
        <f t="shared" si="49"/>
        <v>1</v>
      </c>
      <c r="P53" t="str">
        <f>""</f>
        <v/>
      </c>
      <c r="Q53" t="str">
        <f>"434S"</f>
        <v>434S</v>
      </c>
      <c r="R53" t="str">
        <f>"434S"</f>
        <v>434S</v>
      </c>
      <c r="S53" t="str">
        <f>""</f>
        <v/>
      </c>
      <c r="T53" t="str">
        <f>"31 Jul 2019 09:00"</f>
        <v>31 Jul 2019 09:00</v>
      </c>
      <c r="U53" t="str">
        <f>"31 Jul 2019 10:00"</f>
        <v>31 Jul 2019 10:00</v>
      </c>
      <c r="V53" t="str">
        <f t="shared" si="45"/>
        <v>1h</v>
      </c>
      <c r="W53" t="str">
        <f>"31 Jul 2019 09:00"</f>
        <v>31 Jul 2019 09:00</v>
      </c>
      <c r="X53" t="str">
        <f>""</f>
        <v/>
      </c>
      <c r="Y53" t="str">
        <f>"31 Jul 2019 10:00"</f>
        <v>31 Jul 2019 10:00</v>
      </c>
      <c r="Z53" t="str">
        <f>""</f>
        <v/>
      </c>
      <c r="AA53" t="str">
        <f>""</f>
        <v/>
      </c>
      <c r="AB53" t="str">
        <f t="shared" si="3"/>
        <v>NN</v>
      </c>
      <c r="AC53" t="str">
        <f>"LL"</f>
        <v>LL</v>
      </c>
      <c r="AD53" t="str">
        <f t="shared" si="50"/>
        <v>0</v>
      </c>
      <c r="AE53" t="str">
        <f t="shared" si="50"/>
        <v>0</v>
      </c>
      <c r="AF53" t="str">
        <f t="shared" si="51"/>
        <v>31 Jul 2019 09:00</v>
      </c>
      <c r="AG53" t="str">
        <f t="shared" si="51"/>
        <v>31 Jul 2019 09:00</v>
      </c>
      <c r="AH53" t="str">
        <f t="shared" si="51"/>
        <v>31 Jul 2019 09:00</v>
      </c>
      <c r="AI53" t="str">
        <f t="shared" si="51"/>
        <v>31 Jul 2019 09:00</v>
      </c>
      <c r="AJ53" t="str">
        <f t="shared" si="51"/>
        <v>31 Jul 2019 09:00</v>
      </c>
      <c r="AK53" t="str">
        <f t="shared" si="52"/>
        <v>31 Jul 2019 10:00</v>
      </c>
      <c r="AL53" t="str">
        <f t="shared" si="52"/>
        <v>31 Jul 2019 10:00</v>
      </c>
      <c r="AM53" t="str">
        <f t="shared" si="52"/>
        <v>31 Jul 2019 10:00</v>
      </c>
      <c r="AN53" t="str">
        <f t="shared" si="52"/>
        <v>31 Jul 2019 10:00</v>
      </c>
      <c r="AO53" t="str">
        <f t="shared" si="52"/>
        <v>31 Jul 2019 10:00</v>
      </c>
      <c r="AP53" t="str">
        <f>""</f>
        <v/>
      </c>
      <c r="AQ53" t="str">
        <f>"31 Jul 2019 09:00"</f>
        <v>31 Jul 2019 09:00</v>
      </c>
      <c r="AR53" t="str">
        <f t="shared" si="38"/>
        <v>Y</v>
      </c>
      <c r="AS53" t="str">
        <f t="shared" si="38"/>
        <v>Y</v>
      </c>
      <c r="AT53" t="str">
        <f t="shared" si="38"/>
        <v>Y</v>
      </c>
      <c r="AU53" t="str">
        <f t="shared" si="41"/>
        <v>N</v>
      </c>
      <c r="AV53" t="str">
        <f t="shared" si="41"/>
        <v>N</v>
      </c>
      <c r="AW53" t="str">
        <f>""</f>
        <v/>
      </c>
      <c r="AX53" t="str">
        <f t="shared" si="6"/>
        <v>No</v>
      </c>
      <c r="AY53" t="str">
        <f>""</f>
        <v/>
      </c>
      <c r="AZ53" t="s">
        <v>12</v>
      </c>
      <c r="BA53" t="s">
        <v>110</v>
      </c>
      <c r="BB53" t="s">
        <v>110</v>
      </c>
    </row>
    <row r="54" spans="1:54">
      <c r="A54" s="7" t="str">
        <f t="shared" si="7"/>
        <v>PHKG1RZ188S</v>
      </c>
      <c r="B54" s="8" t="e">
        <f t="shared" si="8"/>
        <v>#VALUE!</v>
      </c>
      <c r="C54" t="str">
        <f t="shared" si="23"/>
        <v>PHKG</v>
      </c>
      <c r="D54" t="str">
        <f>"1RZ"</f>
        <v>1RZ</v>
      </c>
      <c r="E54" t="str">
        <f>"JIA HANG 268"</f>
        <v>JIA HANG 268</v>
      </c>
      <c r="F54" t="str">
        <f>""</f>
        <v/>
      </c>
      <c r="G54" t="str">
        <f t="shared" si="0"/>
        <v>OOCL</v>
      </c>
      <c r="H54" t="str">
        <f>""</f>
        <v/>
      </c>
      <c r="I54" t="str">
        <f>"188"</f>
        <v>188</v>
      </c>
      <c r="J54" t="str">
        <f t="shared" si="44"/>
        <v>S</v>
      </c>
      <c r="K54" t="str">
        <f t="shared" si="48"/>
        <v>2</v>
      </c>
      <c r="L54" t="str">
        <f>"HKG02"</f>
        <v>HKG02</v>
      </c>
      <c r="M54" t="str">
        <f>"HIT - Hongkong International Terminals"</f>
        <v>HIT - Hongkong International Terminals</v>
      </c>
      <c r="N54" t="str">
        <f t="shared" si="1"/>
        <v>HKG</v>
      </c>
      <c r="O54" t="str">
        <f t="shared" si="49"/>
        <v>1</v>
      </c>
      <c r="P54" t="str">
        <f>""</f>
        <v/>
      </c>
      <c r="Q54" t="str">
        <f>"188S"</f>
        <v>188S</v>
      </c>
      <c r="R54" t="str">
        <f>"188S"</f>
        <v>188S</v>
      </c>
      <c r="S54" t="str">
        <f>""</f>
        <v/>
      </c>
      <c r="T54" t="str">
        <f>"31 Jul 2019 10:00"</f>
        <v>31 Jul 2019 10:00</v>
      </c>
      <c r="U54" t="str">
        <f>"31 Jul 2019 11:00"</f>
        <v>31 Jul 2019 11:00</v>
      </c>
      <c r="V54" t="str">
        <f t="shared" si="45"/>
        <v>1h</v>
      </c>
      <c r="W54" t="str">
        <f>"31 Jul 2019 10:00"</f>
        <v>31 Jul 2019 10:00</v>
      </c>
      <c r="X54" t="str">
        <f>"31 Jul 2019 04:13"</f>
        <v>31 Jul 2019 04:13</v>
      </c>
      <c r="Y54" t="str">
        <f>"31 Jul 2019 11:00"</f>
        <v>31 Jul 2019 11:00</v>
      </c>
      <c r="Z54" t="str">
        <f>"31 Jul 2019 14:26"</f>
        <v>31 Jul 2019 14:26</v>
      </c>
      <c r="AA54" t="str">
        <f>"10h 13m"</f>
        <v>10h 13m</v>
      </c>
      <c r="AB54" t="str">
        <f t="shared" si="3"/>
        <v>NN</v>
      </c>
      <c r="AC54" t="str">
        <f>"AA"</f>
        <v>AA</v>
      </c>
      <c r="AD54" t="str">
        <f>"-6"</f>
        <v>-6</v>
      </c>
      <c r="AE54" t="str">
        <f>"3"</f>
        <v>3</v>
      </c>
      <c r="AF54" t="str">
        <f t="shared" ref="AF54:AO54" si="53">"31 Jul 2019 11:00"</f>
        <v>31 Jul 2019 11:00</v>
      </c>
      <c r="AG54" t="str">
        <f t="shared" si="53"/>
        <v>31 Jul 2019 11:00</v>
      </c>
      <c r="AH54" t="str">
        <f t="shared" si="53"/>
        <v>31 Jul 2019 11:00</v>
      </c>
      <c r="AI54" t="str">
        <f t="shared" si="53"/>
        <v>31 Jul 2019 11:00</v>
      </c>
      <c r="AJ54" t="str">
        <f t="shared" si="53"/>
        <v>31 Jul 2019 11:00</v>
      </c>
      <c r="AK54" t="str">
        <f t="shared" si="53"/>
        <v>31 Jul 2019 11:00</v>
      </c>
      <c r="AL54" t="str">
        <f t="shared" si="53"/>
        <v>31 Jul 2019 11:00</v>
      </c>
      <c r="AM54" t="str">
        <f t="shared" si="53"/>
        <v>31 Jul 2019 11:00</v>
      </c>
      <c r="AN54" t="str">
        <f t="shared" si="53"/>
        <v>31 Jul 2019 11:00</v>
      </c>
      <c r="AO54" t="str">
        <f t="shared" si="53"/>
        <v>31 Jul 2019 11:00</v>
      </c>
      <c r="AP54" t="str">
        <f>""</f>
        <v/>
      </c>
      <c r="AQ54" t="str">
        <f>"31 Jul 2019 11:00"</f>
        <v>31 Jul 2019 11:00</v>
      </c>
      <c r="AR54" t="str">
        <f t="shared" si="38"/>
        <v>Y</v>
      </c>
      <c r="AS54" t="str">
        <f t="shared" si="38"/>
        <v>Y</v>
      </c>
      <c r="AT54" t="str">
        <f t="shared" si="38"/>
        <v>Y</v>
      </c>
      <c r="AU54" t="str">
        <f t="shared" si="41"/>
        <v>N</v>
      </c>
      <c r="AV54" t="str">
        <f t="shared" si="41"/>
        <v>N</v>
      </c>
      <c r="AW54" t="str">
        <f>""</f>
        <v/>
      </c>
      <c r="AX54" t="str">
        <f t="shared" si="6"/>
        <v>No</v>
      </c>
      <c r="AY54" t="str">
        <f>""</f>
        <v/>
      </c>
      <c r="AZ54" t="s">
        <v>12</v>
      </c>
      <c r="BA54" t="s">
        <v>110</v>
      </c>
      <c r="BB54" t="s">
        <v>110</v>
      </c>
    </row>
    <row r="55" spans="1:54">
      <c r="A55" s="7" t="str">
        <f t="shared" si="7"/>
        <v>PHKG1HC192S</v>
      </c>
      <c r="B55" s="8" t="e">
        <f t="shared" si="8"/>
        <v>#VALUE!</v>
      </c>
      <c r="C55" t="str">
        <f t="shared" si="23"/>
        <v>PHKG</v>
      </c>
      <c r="D55" t="str">
        <f>"1HC"</f>
        <v>1HC</v>
      </c>
      <c r="E55" t="str">
        <f>"ZHONG DA 13"</f>
        <v>ZHONG DA 13</v>
      </c>
      <c r="F55" t="str">
        <f>""</f>
        <v/>
      </c>
      <c r="G55" t="str">
        <f t="shared" si="0"/>
        <v>OOCL</v>
      </c>
      <c r="H55" t="str">
        <f>""</f>
        <v/>
      </c>
      <c r="I55" t="str">
        <f>"192"</f>
        <v>192</v>
      </c>
      <c r="J55" t="str">
        <f t="shared" si="44"/>
        <v>S</v>
      </c>
      <c r="K55" t="str">
        <f t="shared" si="48"/>
        <v>2</v>
      </c>
      <c r="L55" t="str">
        <f>"HKG01"</f>
        <v>HKG01</v>
      </c>
      <c r="M55" t="str">
        <f>"Modern Terminal Limited (MTL)"</f>
        <v>Modern Terminal Limited (MTL)</v>
      </c>
      <c r="N55" t="str">
        <f t="shared" si="1"/>
        <v>HKG</v>
      </c>
      <c r="O55" t="str">
        <f t="shared" si="49"/>
        <v>1</v>
      </c>
      <c r="P55" t="str">
        <f>""</f>
        <v/>
      </c>
      <c r="Q55" t="str">
        <f>"192S"</f>
        <v>192S</v>
      </c>
      <c r="R55" t="str">
        <f>"192S"</f>
        <v>192S</v>
      </c>
      <c r="S55" t="str">
        <f>""</f>
        <v/>
      </c>
      <c r="T55" t="str">
        <f>"31 Jul 2019 11:00"</f>
        <v>31 Jul 2019 11:00</v>
      </c>
      <c r="U55" t="str">
        <f>"31 Jul 2019 12:00"</f>
        <v>31 Jul 2019 12:00</v>
      </c>
      <c r="V55" t="str">
        <f t="shared" si="45"/>
        <v>1h</v>
      </c>
      <c r="W55" t="str">
        <f>"31 Jul 2019 11:00"</f>
        <v>31 Jul 2019 11:00</v>
      </c>
      <c r="X55" t="str">
        <f>""</f>
        <v/>
      </c>
      <c r="Y55" t="str">
        <f>"31 Jul 2019 12:00"</f>
        <v>31 Jul 2019 12:00</v>
      </c>
      <c r="Z55" t="str">
        <f>""</f>
        <v/>
      </c>
      <c r="AA55" t="str">
        <f>""</f>
        <v/>
      </c>
      <c r="AB55" t="str">
        <f t="shared" si="3"/>
        <v>NN</v>
      </c>
      <c r="AC55" t="str">
        <f>"LL"</f>
        <v>LL</v>
      </c>
      <c r="AD55" t="str">
        <f t="shared" ref="AD55:AE57" si="54">"0"</f>
        <v>0</v>
      </c>
      <c r="AE55" t="str">
        <f t="shared" si="54"/>
        <v>0</v>
      </c>
      <c r="AF55" t="str">
        <f>"31 Jul 2019 13:00"</f>
        <v>31 Jul 2019 13:00</v>
      </c>
      <c r="AG55" t="str">
        <f>"31 Jul 2019 13:00"</f>
        <v>31 Jul 2019 13:00</v>
      </c>
      <c r="AH55" t="str">
        <f>"31 Jul 2019 13:00"</f>
        <v>31 Jul 2019 13:00</v>
      </c>
      <c r="AI55" t="str">
        <f>"31 Jul 2019 13:00"</f>
        <v>31 Jul 2019 13:00</v>
      </c>
      <c r="AJ55" t="str">
        <f>"31 Jul 2019 13:00"</f>
        <v>31 Jul 2019 13:00</v>
      </c>
      <c r="AK55" t="str">
        <f>"31 Jul 2019 11:00"</f>
        <v>31 Jul 2019 11:00</v>
      </c>
      <c r="AL55" t="str">
        <f>"31 Jul 2019 11:00"</f>
        <v>31 Jul 2019 11:00</v>
      </c>
      <c r="AM55" t="str">
        <f>"31 Jul 2019 11:00"</f>
        <v>31 Jul 2019 11:00</v>
      </c>
      <c r="AN55" t="str">
        <f>"31 Jul 2019 11:00"</f>
        <v>31 Jul 2019 11:00</v>
      </c>
      <c r="AO55" t="str">
        <f>"31 Jul 2019 11:00"</f>
        <v>31 Jul 2019 11:00</v>
      </c>
      <c r="AP55" t="str">
        <f>""</f>
        <v/>
      </c>
      <c r="AQ55" t="str">
        <f>"31 Jul 2019 18:00"</f>
        <v>31 Jul 2019 18:00</v>
      </c>
      <c r="AR55" t="str">
        <f t="shared" si="38"/>
        <v>Y</v>
      </c>
      <c r="AS55" t="str">
        <f t="shared" si="38"/>
        <v>Y</v>
      </c>
      <c r="AT55" t="str">
        <f t="shared" si="38"/>
        <v>Y</v>
      </c>
      <c r="AU55" t="str">
        <f t="shared" si="41"/>
        <v>N</v>
      </c>
      <c r="AV55" t="str">
        <f t="shared" si="41"/>
        <v>N</v>
      </c>
      <c r="AW55" t="str">
        <f>""</f>
        <v/>
      </c>
      <c r="AX55" t="str">
        <f t="shared" si="6"/>
        <v>No</v>
      </c>
      <c r="AY55" t="str">
        <f>""</f>
        <v/>
      </c>
      <c r="AZ55" t="s">
        <v>12</v>
      </c>
      <c r="BA55" t="s">
        <v>110</v>
      </c>
      <c r="BB55" t="s">
        <v>110</v>
      </c>
    </row>
    <row r="56" spans="1:54">
      <c r="A56" s="7" t="str">
        <f t="shared" si="7"/>
        <v>PHKG1HC192S</v>
      </c>
      <c r="B56" s="8" t="e">
        <f t="shared" si="8"/>
        <v>#VALUE!</v>
      </c>
      <c r="C56" t="str">
        <f t="shared" si="23"/>
        <v>PHKG</v>
      </c>
      <c r="D56" t="str">
        <f>"1HC"</f>
        <v>1HC</v>
      </c>
      <c r="E56" t="str">
        <f>"ZHONG DA 13"</f>
        <v>ZHONG DA 13</v>
      </c>
      <c r="F56" t="str">
        <f>""</f>
        <v/>
      </c>
      <c r="G56" t="str">
        <f t="shared" si="0"/>
        <v>OOCL</v>
      </c>
      <c r="H56" t="str">
        <f>""</f>
        <v/>
      </c>
      <c r="I56" t="str">
        <f>"192"</f>
        <v>192</v>
      </c>
      <c r="J56" t="str">
        <f t="shared" si="44"/>
        <v>S</v>
      </c>
      <c r="K56" t="str">
        <f>"3"</f>
        <v>3</v>
      </c>
      <c r="L56" t="str">
        <f>"HKG02"</f>
        <v>HKG02</v>
      </c>
      <c r="M56" t="str">
        <f>"HIT - Hongkong International Terminals"</f>
        <v>HIT - Hongkong International Terminals</v>
      </c>
      <c r="N56" t="str">
        <f t="shared" si="1"/>
        <v>HKG</v>
      </c>
      <c r="O56" t="str">
        <f>"2"</f>
        <v>2</v>
      </c>
      <c r="P56" t="str">
        <f>""</f>
        <v/>
      </c>
      <c r="Q56" t="str">
        <f>"192S"</f>
        <v>192S</v>
      </c>
      <c r="R56" t="str">
        <f>"192S"</f>
        <v>192S</v>
      </c>
      <c r="S56" t="str">
        <f>""</f>
        <v/>
      </c>
      <c r="T56" t="str">
        <f>"31 Jul 2019 15:00"</f>
        <v>31 Jul 2019 15:00</v>
      </c>
      <c r="U56" t="str">
        <f>"31 Jul 2019 16:00"</f>
        <v>31 Jul 2019 16:00</v>
      </c>
      <c r="V56" t="str">
        <f t="shared" si="45"/>
        <v>1h</v>
      </c>
      <c r="W56" t="str">
        <f>"31 Jul 2019 15:00"</f>
        <v>31 Jul 2019 15:00</v>
      </c>
      <c r="X56" t="str">
        <f>""</f>
        <v/>
      </c>
      <c r="Y56" t="str">
        <f>"31 Jul 2019 16:00"</f>
        <v>31 Jul 2019 16:00</v>
      </c>
      <c r="Z56" t="str">
        <f>""</f>
        <v/>
      </c>
      <c r="AA56" t="str">
        <f>""</f>
        <v/>
      </c>
      <c r="AB56" t="str">
        <f t="shared" si="3"/>
        <v>NN</v>
      </c>
      <c r="AC56" t="str">
        <f>"LL"</f>
        <v>LL</v>
      </c>
      <c r="AD56" t="str">
        <f t="shared" si="54"/>
        <v>0</v>
      </c>
      <c r="AE56" t="str">
        <f t="shared" si="54"/>
        <v>0</v>
      </c>
      <c r="AF56" t="str">
        <f>"31 Jul 2019 18:00"</f>
        <v>31 Jul 2019 18:00</v>
      </c>
      <c r="AG56" t="str">
        <f>"31 Jul 2019 18:00"</f>
        <v>31 Jul 2019 18:00</v>
      </c>
      <c r="AH56" t="str">
        <f>"31 Jul 2019 18:00"</f>
        <v>31 Jul 2019 18:00</v>
      </c>
      <c r="AI56" t="str">
        <f>"31 Jul 2019 18:00"</f>
        <v>31 Jul 2019 18:00</v>
      </c>
      <c r="AJ56" t="str">
        <f>"31 Jul 2019 18:00"</f>
        <v>31 Jul 2019 18:00</v>
      </c>
      <c r="AK56" t="str">
        <f>"31 Jul 2019 16:00"</f>
        <v>31 Jul 2019 16:00</v>
      </c>
      <c r="AL56" t="str">
        <f>"31 Jul 2019 16:00"</f>
        <v>31 Jul 2019 16:00</v>
      </c>
      <c r="AM56" t="str">
        <f>"31 Jul 2019 16:00"</f>
        <v>31 Jul 2019 16:00</v>
      </c>
      <c r="AN56" t="str">
        <f>"31 Jul 2019 16:00"</f>
        <v>31 Jul 2019 16:00</v>
      </c>
      <c r="AO56" t="str">
        <f>"31 Jul 2019 16:00"</f>
        <v>31 Jul 2019 16:00</v>
      </c>
      <c r="AP56" t="str">
        <f>""</f>
        <v/>
      </c>
      <c r="AQ56" t="str">
        <f>"31 Jul 2019 23:00"</f>
        <v>31 Jul 2019 23:00</v>
      </c>
      <c r="AR56" t="str">
        <f t="shared" si="38"/>
        <v>Y</v>
      </c>
      <c r="AS56" t="str">
        <f t="shared" si="38"/>
        <v>Y</v>
      </c>
      <c r="AT56" t="str">
        <f t="shared" si="38"/>
        <v>Y</v>
      </c>
      <c r="AU56" t="str">
        <f t="shared" si="41"/>
        <v>N</v>
      </c>
      <c r="AV56" t="str">
        <f t="shared" si="41"/>
        <v>N</v>
      </c>
      <c r="AW56" t="str">
        <f>""</f>
        <v/>
      </c>
      <c r="AX56" t="str">
        <f t="shared" si="6"/>
        <v>No</v>
      </c>
      <c r="AY56" t="str">
        <f>""</f>
        <v/>
      </c>
      <c r="AZ56" t="s">
        <v>12</v>
      </c>
      <c r="BA56" t="s">
        <v>110</v>
      </c>
      <c r="BB56" t="s">
        <v>110</v>
      </c>
    </row>
    <row r="57" spans="1:54">
      <c r="A57" s="7" t="str">
        <f t="shared" si="7"/>
        <v>PHKG2WZ010N</v>
      </c>
      <c r="B57" s="8" t="e">
        <f t="shared" si="8"/>
        <v>#VALUE!</v>
      </c>
      <c r="C57" t="str">
        <f t="shared" si="23"/>
        <v>PHKG</v>
      </c>
      <c r="D57" t="str">
        <f>"2WZ"</f>
        <v>2WZ</v>
      </c>
      <c r="E57" t="str">
        <f>"JIN HUI 399"</f>
        <v>JIN HUI 399</v>
      </c>
      <c r="F57" t="str">
        <f>""</f>
        <v/>
      </c>
      <c r="G57" t="str">
        <f t="shared" si="0"/>
        <v>OOCL</v>
      </c>
      <c r="H57" t="str">
        <f>""</f>
        <v/>
      </c>
      <c r="I57" t="str">
        <f>"010"</f>
        <v>010</v>
      </c>
      <c r="J57" t="str">
        <f>"N"</f>
        <v>N</v>
      </c>
      <c r="K57" t="str">
        <f>"1"</f>
        <v>1</v>
      </c>
      <c r="L57" t="str">
        <f>"HKG02"</f>
        <v>HKG02</v>
      </c>
      <c r="M57" t="str">
        <f>"HIT - Hongkong International Terminals"</f>
        <v>HIT - Hongkong International Terminals</v>
      </c>
      <c r="N57" t="str">
        <f t="shared" si="1"/>
        <v>HKG</v>
      </c>
      <c r="O57" t="str">
        <f>"1"</f>
        <v>1</v>
      </c>
      <c r="P57" t="str">
        <f>""</f>
        <v/>
      </c>
      <c r="Q57" t="str">
        <f>"010N"</f>
        <v>010N</v>
      </c>
      <c r="R57" t="str">
        <f>"010N"</f>
        <v>010N</v>
      </c>
      <c r="S57" t="str">
        <f>""</f>
        <v/>
      </c>
      <c r="T57" t="str">
        <f>"31 Jul 2019 11:00"</f>
        <v>31 Jul 2019 11:00</v>
      </c>
      <c r="U57" t="str">
        <f>"31 Jul 2019 12:00"</f>
        <v>31 Jul 2019 12:00</v>
      </c>
      <c r="V57" t="str">
        <f t="shared" si="45"/>
        <v>1h</v>
      </c>
      <c r="W57" t="str">
        <f>"31 Jul 2019 11:00"</f>
        <v>31 Jul 2019 11:00</v>
      </c>
      <c r="X57" t="str">
        <f>""</f>
        <v/>
      </c>
      <c r="Y57" t="str">
        <f>"31 Jul 2019 12:00"</f>
        <v>31 Jul 2019 12:00</v>
      </c>
      <c r="Z57" t="str">
        <f>""</f>
        <v/>
      </c>
      <c r="AA57" t="str">
        <f>""</f>
        <v/>
      </c>
      <c r="AB57" t="str">
        <f t="shared" si="3"/>
        <v>NN</v>
      </c>
      <c r="AC57" t="str">
        <f>"LL"</f>
        <v>LL</v>
      </c>
      <c r="AD57" t="str">
        <f t="shared" si="54"/>
        <v>0</v>
      </c>
      <c r="AE57" t="str">
        <f t="shared" si="54"/>
        <v>0</v>
      </c>
      <c r="AF57" t="str">
        <f t="shared" ref="AF57:AO60" si="55">"31 Jul 2019 11:00"</f>
        <v>31 Jul 2019 11:00</v>
      </c>
      <c r="AG57" t="str">
        <f t="shared" si="55"/>
        <v>31 Jul 2019 11:00</v>
      </c>
      <c r="AH57" t="str">
        <f t="shared" si="55"/>
        <v>31 Jul 2019 11:00</v>
      </c>
      <c r="AI57" t="str">
        <f t="shared" si="55"/>
        <v>31 Jul 2019 11:00</v>
      </c>
      <c r="AJ57" t="str">
        <f t="shared" si="55"/>
        <v>31 Jul 2019 11:00</v>
      </c>
      <c r="AK57" t="str">
        <f t="shared" si="55"/>
        <v>31 Jul 2019 11:00</v>
      </c>
      <c r="AL57" t="str">
        <f t="shared" si="55"/>
        <v>31 Jul 2019 11:00</v>
      </c>
      <c r="AM57" t="str">
        <f t="shared" si="55"/>
        <v>31 Jul 2019 11:00</v>
      </c>
      <c r="AN57" t="str">
        <f t="shared" si="55"/>
        <v>31 Jul 2019 11:00</v>
      </c>
      <c r="AO57" t="str">
        <f t="shared" si="55"/>
        <v>31 Jul 2019 11:00</v>
      </c>
      <c r="AP57" t="str">
        <f>""</f>
        <v/>
      </c>
      <c r="AQ57" t="str">
        <f>"31 Jul 2019 11:00"</f>
        <v>31 Jul 2019 11:00</v>
      </c>
      <c r="AR57" t="str">
        <f t="shared" si="38"/>
        <v>Y</v>
      </c>
      <c r="AS57" t="str">
        <f t="shared" si="38"/>
        <v>Y</v>
      </c>
      <c r="AT57" t="str">
        <f t="shared" si="38"/>
        <v>Y</v>
      </c>
      <c r="AU57" t="str">
        <f t="shared" si="41"/>
        <v>N</v>
      </c>
      <c r="AV57" t="str">
        <f t="shared" si="41"/>
        <v>N</v>
      </c>
      <c r="AW57" t="str">
        <f>""</f>
        <v/>
      </c>
      <c r="AX57" t="str">
        <f t="shared" si="6"/>
        <v>No</v>
      </c>
      <c r="AY57" t="str">
        <f>""</f>
        <v/>
      </c>
      <c r="AZ57" t="s">
        <v>12</v>
      </c>
      <c r="BA57" t="s">
        <v>110</v>
      </c>
      <c r="BB57" t="s">
        <v>110</v>
      </c>
    </row>
    <row r="58" spans="1:54">
      <c r="A58" s="7" t="str">
        <f t="shared" si="7"/>
        <v>PHKG3SY088N</v>
      </c>
      <c r="B58" s="8" t="e">
        <f t="shared" si="8"/>
        <v>#VALUE!</v>
      </c>
      <c r="C58" t="str">
        <f t="shared" si="23"/>
        <v>PHKG</v>
      </c>
      <c r="D58" t="str">
        <f>"3SY"</f>
        <v>3SY</v>
      </c>
      <c r="E58" t="str">
        <f>"YUE FU LONG 188"</f>
        <v>YUE FU LONG 188</v>
      </c>
      <c r="F58" t="str">
        <f>""</f>
        <v/>
      </c>
      <c r="G58" t="str">
        <f t="shared" si="0"/>
        <v>OOCL</v>
      </c>
      <c r="H58" t="str">
        <f>""</f>
        <v/>
      </c>
      <c r="I58" t="str">
        <f>"088"</f>
        <v>088</v>
      </c>
      <c r="J58" t="str">
        <f>"N"</f>
        <v>N</v>
      </c>
      <c r="K58" t="str">
        <f>"1"</f>
        <v>1</v>
      </c>
      <c r="L58" t="str">
        <f>"HKG02"</f>
        <v>HKG02</v>
      </c>
      <c r="M58" t="str">
        <f>"HIT - Hongkong International Terminals"</f>
        <v>HIT - Hongkong International Terminals</v>
      </c>
      <c r="N58" t="str">
        <f t="shared" si="1"/>
        <v>HKG</v>
      </c>
      <c r="O58" t="str">
        <f>"1"</f>
        <v>1</v>
      </c>
      <c r="P58" t="str">
        <f>""</f>
        <v/>
      </c>
      <c r="Q58" t="str">
        <f>"088N"</f>
        <v>088N</v>
      </c>
      <c r="R58" t="str">
        <f>"088N"</f>
        <v>088N</v>
      </c>
      <c r="S58" t="str">
        <f>""</f>
        <v/>
      </c>
      <c r="T58" t="str">
        <f>"31 Jul 2019 11:00"</f>
        <v>31 Jul 2019 11:00</v>
      </c>
      <c r="U58" t="str">
        <f>"31 Jul 2019 12:00"</f>
        <v>31 Jul 2019 12:00</v>
      </c>
      <c r="V58" t="str">
        <f t="shared" si="45"/>
        <v>1h</v>
      </c>
      <c r="W58" t="str">
        <f>"31 Jul 2019 11:00"</f>
        <v>31 Jul 2019 11:00</v>
      </c>
      <c r="X58" t="str">
        <f>"31 Jul 2019 07:48"</f>
        <v>31 Jul 2019 07:48</v>
      </c>
      <c r="Y58" t="str">
        <f>"31 Jul 2019 12:00"</f>
        <v>31 Jul 2019 12:00</v>
      </c>
      <c r="Z58" t="str">
        <f>"31 Jul 2019 11:00"</f>
        <v>31 Jul 2019 11:00</v>
      </c>
      <c r="AA58" t="str">
        <f>"3h 11m"</f>
        <v>3h 11m</v>
      </c>
      <c r="AB58" t="str">
        <f t="shared" si="3"/>
        <v>NN</v>
      </c>
      <c r="AC58" t="str">
        <f>"AA"</f>
        <v>AA</v>
      </c>
      <c r="AD58" t="str">
        <f>"-3"</f>
        <v>-3</v>
      </c>
      <c r="AE58" t="str">
        <f>"-1"</f>
        <v>-1</v>
      </c>
      <c r="AF58" t="str">
        <f t="shared" si="55"/>
        <v>31 Jul 2019 11:00</v>
      </c>
      <c r="AG58" t="str">
        <f t="shared" si="55"/>
        <v>31 Jul 2019 11:00</v>
      </c>
      <c r="AH58" t="str">
        <f t="shared" si="55"/>
        <v>31 Jul 2019 11:00</v>
      </c>
      <c r="AI58" t="str">
        <f t="shared" si="55"/>
        <v>31 Jul 2019 11:00</v>
      </c>
      <c r="AJ58" t="str">
        <f t="shared" si="55"/>
        <v>31 Jul 2019 11:00</v>
      </c>
      <c r="AK58" t="str">
        <f t="shared" si="55"/>
        <v>31 Jul 2019 11:00</v>
      </c>
      <c r="AL58" t="str">
        <f t="shared" si="55"/>
        <v>31 Jul 2019 11:00</v>
      </c>
      <c r="AM58" t="str">
        <f t="shared" si="55"/>
        <v>31 Jul 2019 11:00</v>
      </c>
      <c r="AN58" t="str">
        <f t="shared" si="55"/>
        <v>31 Jul 2019 11:00</v>
      </c>
      <c r="AO58" t="str">
        <f t="shared" si="55"/>
        <v>31 Jul 2019 11:00</v>
      </c>
      <c r="AP58" t="str">
        <f>""</f>
        <v/>
      </c>
      <c r="AQ58" t="str">
        <f>"31 Jul 2019 11:00"</f>
        <v>31 Jul 2019 11:00</v>
      </c>
      <c r="AR58" t="str">
        <f t="shared" ref="AR58:AT77" si="56">"Y"</f>
        <v>Y</v>
      </c>
      <c r="AS58" t="str">
        <f t="shared" si="56"/>
        <v>Y</v>
      </c>
      <c r="AT58" t="str">
        <f t="shared" si="56"/>
        <v>Y</v>
      </c>
      <c r="AU58" t="str">
        <f t="shared" si="41"/>
        <v>N</v>
      </c>
      <c r="AV58" t="str">
        <f t="shared" si="41"/>
        <v>N</v>
      </c>
      <c r="AW58" t="str">
        <f>""</f>
        <v/>
      </c>
      <c r="AX58" t="str">
        <f t="shared" si="6"/>
        <v>No</v>
      </c>
      <c r="AY58" t="str">
        <f>""</f>
        <v/>
      </c>
      <c r="AZ58" t="s">
        <v>12</v>
      </c>
      <c r="BA58" t="s">
        <v>110</v>
      </c>
      <c r="BB58" t="s">
        <v>110</v>
      </c>
    </row>
    <row r="59" spans="1:54">
      <c r="A59" s="7" t="str">
        <f t="shared" si="7"/>
        <v>PHKG4GH238N</v>
      </c>
      <c r="B59" s="8" t="e">
        <f t="shared" si="8"/>
        <v>#VALUE!</v>
      </c>
      <c r="C59" t="str">
        <f t="shared" si="23"/>
        <v>PHKG</v>
      </c>
      <c r="D59" t="str">
        <f>"4GH"</f>
        <v>4GH</v>
      </c>
      <c r="E59" t="str">
        <f>"HUI HAI LONG 168"</f>
        <v>HUI HAI LONG 168</v>
      </c>
      <c r="F59" t="str">
        <f>""</f>
        <v/>
      </c>
      <c r="G59" t="str">
        <f t="shared" si="0"/>
        <v>OOCL</v>
      </c>
      <c r="H59" t="str">
        <f>""</f>
        <v/>
      </c>
      <c r="I59" t="str">
        <f>"238"</f>
        <v>238</v>
      </c>
      <c r="J59" t="str">
        <f>"N"</f>
        <v>N</v>
      </c>
      <c r="K59" t="str">
        <f>"1"</f>
        <v>1</v>
      </c>
      <c r="L59" t="str">
        <f>"HKG02"</f>
        <v>HKG02</v>
      </c>
      <c r="M59" t="str">
        <f>"HIT - Hongkong International Terminals"</f>
        <v>HIT - Hongkong International Terminals</v>
      </c>
      <c r="N59" t="str">
        <f t="shared" si="1"/>
        <v>HKG</v>
      </c>
      <c r="O59" t="str">
        <f>"1"</f>
        <v>1</v>
      </c>
      <c r="P59" t="str">
        <f>""</f>
        <v/>
      </c>
      <c r="Q59" t="str">
        <f>"238N"</f>
        <v>238N</v>
      </c>
      <c r="R59" t="str">
        <f>"238N"</f>
        <v>238N</v>
      </c>
      <c r="S59" t="str">
        <f>""</f>
        <v/>
      </c>
      <c r="T59" t="str">
        <f>"31 Jul 2019 11:00"</f>
        <v>31 Jul 2019 11:00</v>
      </c>
      <c r="U59" t="str">
        <f>"31 Jul 2019 12:00"</f>
        <v>31 Jul 2019 12:00</v>
      </c>
      <c r="V59" t="str">
        <f t="shared" si="45"/>
        <v>1h</v>
      </c>
      <c r="W59" t="str">
        <f>"31 Jul 2019 11:00"</f>
        <v>31 Jul 2019 11:00</v>
      </c>
      <c r="X59" t="str">
        <f>"31 Jul 2019 05:10"</f>
        <v>31 Jul 2019 05:10</v>
      </c>
      <c r="Y59" t="str">
        <f>"31 Jul 2019 12:00"</f>
        <v>31 Jul 2019 12:00</v>
      </c>
      <c r="Z59" t="str">
        <f>"31 Jul 2019 06:17"</f>
        <v>31 Jul 2019 06:17</v>
      </c>
      <c r="AA59" t="str">
        <f>"1h 6m"</f>
        <v>1h 6m</v>
      </c>
      <c r="AB59" t="str">
        <f t="shared" si="3"/>
        <v>NN</v>
      </c>
      <c r="AC59" t="str">
        <f>"AA"</f>
        <v>AA</v>
      </c>
      <c r="AD59" t="str">
        <f>"-6"</f>
        <v>-6</v>
      </c>
      <c r="AE59" t="str">
        <f>"-6"</f>
        <v>-6</v>
      </c>
      <c r="AF59" t="str">
        <f t="shared" si="55"/>
        <v>31 Jul 2019 11:00</v>
      </c>
      <c r="AG59" t="str">
        <f t="shared" si="55"/>
        <v>31 Jul 2019 11:00</v>
      </c>
      <c r="AH59" t="str">
        <f t="shared" si="55"/>
        <v>31 Jul 2019 11:00</v>
      </c>
      <c r="AI59" t="str">
        <f t="shared" si="55"/>
        <v>31 Jul 2019 11:00</v>
      </c>
      <c r="AJ59" t="str">
        <f t="shared" si="55"/>
        <v>31 Jul 2019 11:00</v>
      </c>
      <c r="AK59" t="str">
        <f>"31 Jul 2019 00:00"</f>
        <v>31 Jul 2019 00:00</v>
      </c>
      <c r="AL59" t="str">
        <f>"31 Jul 2019 00:00"</f>
        <v>31 Jul 2019 00:00</v>
      </c>
      <c r="AM59" t="str">
        <f>"31 Jul 2019 00:00"</f>
        <v>31 Jul 2019 00:00</v>
      </c>
      <c r="AN59" t="str">
        <f>"31 Jul 2019 00:00"</f>
        <v>31 Jul 2019 00:00</v>
      </c>
      <c r="AO59" t="str">
        <f>"31 Jul 2019 00:00"</f>
        <v>31 Jul 2019 00:00</v>
      </c>
      <c r="AP59" t="str">
        <f>""</f>
        <v/>
      </c>
      <c r="AQ59" t="str">
        <f>"31 Jul 2019 11:00"</f>
        <v>31 Jul 2019 11:00</v>
      </c>
      <c r="AR59" t="str">
        <f t="shared" si="56"/>
        <v>Y</v>
      </c>
      <c r="AS59" t="str">
        <f t="shared" si="56"/>
        <v>Y</v>
      </c>
      <c r="AT59" t="str">
        <f t="shared" si="56"/>
        <v>Y</v>
      </c>
      <c r="AU59" t="str">
        <f t="shared" si="41"/>
        <v>N</v>
      </c>
      <c r="AV59" t="str">
        <f t="shared" si="41"/>
        <v>N</v>
      </c>
      <c r="AW59" t="str">
        <f>""</f>
        <v/>
      </c>
      <c r="AX59" t="str">
        <f t="shared" si="6"/>
        <v>No</v>
      </c>
      <c r="AY59" t="str">
        <f>""</f>
        <v/>
      </c>
      <c r="AZ59" t="s">
        <v>12</v>
      </c>
      <c r="BA59" t="s">
        <v>110</v>
      </c>
      <c r="BB59" t="s">
        <v>110</v>
      </c>
    </row>
    <row r="60" spans="1:54">
      <c r="A60" s="7" t="str">
        <f t="shared" si="7"/>
        <v>PHKG5SC159S</v>
      </c>
      <c r="B60" s="8" t="e">
        <f t="shared" si="8"/>
        <v>#VALUE!</v>
      </c>
      <c r="C60" t="str">
        <f t="shared" si="23"/>
        <v>PHKG</v>
      </c>
      <c r="D60" t="str">
        <f>"5SC"</f>
        <v>5SC</v>
      </c>
      <c r="E60" t="str">
        <f>"ZHI HANG 869"</f>
        <v>ZHI HANG 869</v>
      </c>
      <c r="F60" t="str">
        <f>""</f>
        <v/>
      </c>
      <c r="G60" t="str">
        <f t="shared" si="0"/>
        <v>OOCL</v>
      </c>
      <c r="H60" t="str">
        <f>""</f>
        <v/>
      </c>
      <c r="I60" t="str">
        <f>"159"</f>
        <v>159</v>
      </c>
      <c r="J60" t="str">
        <f t="shared" ref="J60:J66" si="57">"S"</f>
        <v>S</v>
      </c>
      <c r="K60" t="str">
        <f>"2"</f>
        <v>2</v>
      </c>
      <c r="L60" t="str">
        <f>"HKG02"</f>
        <v>HKG02</v>
      </c>
      <c r="M60" t="str">
        <f>"HIT - Hongkong International Terminals"</f>
        <v>HIT - Hongkong International Terminals</v>
      </c>
      <c r="N60" t="str">
        <f t="shared" si="1"/>
        <v>HKG</v>
      </c>
      <c r="O60" t="str">
        <f>"1"</f>
        <v>1</v>
      </c>
      <c r="P60" t="str">
        <f>""</f>
        <v/>
      </c>
      <c r="Q60" t="str">
        <f t="shared" ref="Q60:R62" si="58">"159S"</f>
        <v>159S</v>
      </c>
      <c r="R60" t="str">
        <f t="shared" si="58"/>
        <v>159S</v>
      </c>
      <c r="S60" t="str">
        <f>""</f>
        <v/>
      </c>
      <c r="T60" t="str">
        <f>"31 Jul 2019 11:00"</f>
        <v>31 Jul 2019 11:00</v>
      </c>
      <c r="U60" t="str">
        <f>"31 Jul 2019 12:00"</f>
        <v>31 Jul 2019 12:00</v>
      </c>
      <c r="V60" t="str">
        <f t="shared" si="45"/>
        <v>1h</v>
      </c>
      <c r="W60" t="str">
        <f>"31 Jul 2019 11:00"</f>
        <v>31 Jul 2019 11:00</v>
      </c>
      <c r="X60" t="str">
        <f>""</f>
        <v/>
      </c>
      <c r="Y60" t="str">
        <f>"31 Jul 2019 12:00"</f>
        <v>31 Jul 2019 12:00</v>
      </c>
      <c r="Z60" t="str">
        <f>""</f>
        <v/>
      </c>
      <c r="AA60" t="str">
        <f>""</f>
        <v/>
      </c>
      <c r="AB60" t="str">
        <f t="shared" si="3"/>
        <v>NN</v>
      </c>
      <c r="AC60" t="str">
        <f>"LL"</f>
        <v>LL</v>
      </c>
      <c r="AD60" t="str">
        <f t="shared" ref="AD60:AE71" si="59">"0"</f>
        <v>0</v>
      </c>
      <c r="AE60" t="str">
        <f t="shared" si="59"/>
        <v>0</v>
      </c>
      <c r="AF60" t="str">
        <f t="shared" si="55"/>
        <v>31 Jul 2019 11:00</v>
      </c>
      <c r="AG60" t="str">
        <f t="shared" si="55"/>
        <v>31 Jul 2019 11:00</v>
      </c>
      <c r="AH60" t="str">
        <f t="shared" si="55"/>
        <v>31 Jul 2019 11:00</v>
      </c>
      <c r="AI60" t="str">
        <f t="shared" si="55"/>
        <v>31 Jul 2019 11:00</v>
      </c>
      <c r="AJ60" t="str">
        <f t="shared" si="55"/>
        <v>31 Jul 2019 11:00</v>
      </c>
      <c r="AK60" t="str">
        <f>"31 Jul 2019 10:00"</f>
        <v>31 Jul 2019 10:00</v>
      </c>
      <c r="AL60" t="str">
        <f>"31 Jul 2019 10:00"</f>
        <v>31 Jul 2019 10:00</v>
      </c>
      <c r="AM60" t="str">
        <f>"31 Jul 2019 10:00"</f>
        <v>31 Jul 2019 10:00</v>
      </c>
      <c r="AN60" t="str">
        <f>"31 Jul 2019 10:00"</f>
        <v>31 Jul 2019 10:00</v>
      </c>
      <c r="AO60" t="str">
        <f>"31 Jul 2019 10:00"</f>
        <v>31 Jul 2019 10:00</v>
      </c>
      <c r="AP60" t="str">
        <f>""</f>
        <v/>
      </c>
      <c r="AQ60" t="str">
        <f>"31 Jul 2019 11:00"</f>
        <v>31 Jul 2019 11:00</v>
      </c>
      <c r="AR60" t="str">
        <f t="shared" si="56"/>
        <v>Y</v>
      </c>
      <c r="AS60" t="str">
        <f t="shared" si="56"/>
        <v>Y</v>
      </c>
      <c r="AT60" t="str">
        <f t="shared" si="56"/>
        <v>Y</v>
      </c>
      <c r="AU60" t="str">
        <f t="shared" si="41"/>
        <v>N</v>
      </c>
      <c r="AV60" t="str">
        <f t="shared" si="41"/>
        <v>N</v>
      </c>
      <c r="AW60" t="str">
        <f>""</f>
        <v/>
      </c>
      <c r="AX60" t="str">
        <f t="shared" si="6"/>
        <v>No</v>
      </c>
      <c r="AY60" t="str">
        <f>""</f>
        <v/>
      </c>
      <c r="AZ60" t="s">
        <v>12</v>
      </c>
      <c r="BA60" t="s">
        <v>110</v>
      </c>
      <c r="BB60" t="s">
        <v>110</v>
      </c>
    </row>
    <row r="61" spans="1:54">
      <c r="A61" s="7" t="str">
        <f t="shared" si="7"/>
        <v>PHKG5SC159S</v>
      </c>
      <c r="B61" s="8" t="e">
        <f t="shared" si="8"/>
        <v>#VALUE!</v>
      </c>
      <c r="C61" t="str">
        <f t="shared" si="23"/>
        <v>PHKG</v>
      </c>
      <c r="D61" t="str">
        <f>"5SC"</f>
        <v>5SC</v>
      </c>
      <c r="E61" t="str">
        <f>"ZHI HANG 869"</f>
        <v>ZHI HANG 869</v>
      </c>
      <c r="F61" t="str">
        <f>""</f>
        <v/>
      </c>
      <c r="G61" t="str">
        <f t="shared" si="0"/>
        <v>OOCL</v>
      </c>
      <c r="H61" t="str">
        <f>""</f>
        <v/>
      </c>
      <c r="I61" t="str">
        <f>"159"</f>
        <v>159</v>
      </c>
      <c r="J61" t="str">
        <f t="shared" si="57"/>
        <v>S</v>
      </c>
      <c r="K61" t="str">
        <f>"3"</f>
        <v>3</v>
      </c>
      <c r="L61" t="str">
        <f>"HKG04"</f>
        <v>HKG04</v>
      </c>
      <c r="M61" t="str">
        <f>"Cosco - HIT Terminals (HK) Ltd"</f>
        <v>Cosco - HIT Terminals (HK) Ltd</v>
      </c>
      <c r="N61" t="str">
        <f t="shared" si="1"/>
        <v>HKG</v>
      </c>
      <c r="O61" t="str">
        <f>"2"</f>
        <v>2</v>
      </c>
      <c r="P61" t="str">
        <f>""</f>
        <v/>
      </c>
      <c r="Q61" t="str">
        <f t="shared" si="58"/>
        <v>159S</v>
      </c>
      <c r="R61" t="str">
        <f t="shared" si="58"/>
        <v>159S</v>
      </c>
      <c r="S61" t="str">
        <f>""</f>
        <v/>
      </c>
      <c r="T61" t="str">
        <f>"31 Jul 2019 15:00"</f>
        <v>31 Jul 2019 15:00</v>
      </c>
      <c r="U61" t="str">
        <f>"31 Jul 2019 16:00"</f>
        <v>31 Jul 2019 16:00</v>
      </c>
      <c r="V61" t="str">
        <f t="shared" si="45"/>
        <v>1h</v>
      </c>
      <c r="W61" t="str">
        <f>"31 Jul 2019 15:00"</f>
        <v>31 Jul 2019 15:00</v>
      </c>
      <c r="X61" t="str">
        <f>""</f>
        <v/>
      </c>
      <c r="Y61" t="str">
        <f>"31 Jul 2019 16:00"</f>
        <v>31 Jul 2019 16:00</v>
      </c>
      <c r="Z61" t="str">
        <f>""</f>
        <v/>
      </c>
      <c r="AA61" t="str">
        <f>""</f>
        <v/>
      </c>
      <c r="AB61" t="str">
        <f t="shared" si="3"/>
        <v>NN</v>
      </c>
      <c r="AC61" t="str">
        <f>"LL"</f>
        <v>LL</v>
      </c>
      <c r="AD61" t="str">
        <f t="shared" si="59"/>
        <v>0</v>
      </c>
      <c r="AE61" t="str">
        <f t="shared" si="59"/>
        <v>0</v>
      </c>
      <c r="AF61" t="str">
        <f>"31 Jul 2019 15:00"</f>
        <v>31 Jul 2019 15:00</v>
      </c>
      <c r="AG61" t="str">
        <f>"31 Jul 2019 15:00"</f>
        <v>31 Jul 2019 15:00</v>
      </c>
      <c r="AH61" t="str">
        <f>"31 Jul 2019 15:00"</f>
        <v>31 Jul 2019 15:00</v>
      </c>
      <c r="AI61" t="str">
        <f>"31 Jul 2019 15:00"</f>
        <v>31 Jul 2019 15:00</v>
      </c>
      <c r="AJ61" t="str">
        <f>"31 Jul 2019 15:00"</f>
        <v>31 Jul 2019 15:00</v>
      </c>
      <c r="AK61" t="str">
        <f>"31 Jul 2019 14:00"</f>
        <v>31 Jul 2019 14:00</v>
      </c>
      <c r="AL61" t="str">
        <f>"31 Jul 2019 14:00"</f>
        <v>31 Jul 2019 14:00</v>
      </c>
      <c r="AM61" t="str">
        <f>"31 Jul 2019 14:00"</f>
        <v>31 Jul 2019 14:00</v>
      </c>
      <c r="AN61" t="str">
        <f>"31 Jul 2019 14:00"</f>
        <v>31 Jul 2019 14:00</v>
      </c>
      <c r="AO61" t="str">
        <f>"31 Jul 2019 14:00"</f>
        <v>31 Jul 2019 14:00</v>
      </c>
      <c r="AP61" t="str">
        <f>""</f>
        <v/>
      </c>
      <c r="AQ61" t="str">
        <f>"31 Jul 2019 15:00"</f>
        <v>31 Jul 2019 15:00</v>
      </c>
      <c r="AR61" t="str">
        <f t="shared" si="56"/>
        <v>Y</v>
      </c>
      <c r="AS61" t="str">
        <f t="shared" si="56"/>
        <v>Y</v>
      </c>
      <c r="AT61" t="str">
        <f t="shared" si="56"/>
        <v>Y</v>
      </c>
      <c r="AU61" t="str">
        <f t="shared" si="41"/>
        <v>N</v>
      </c>
      <c r="AV61" t="str">
        <f t="shared" si="41"/>
        <v>N</v>
      </c>
      <c r="AW61" t="str">
        <f>""</f>
        <v/>
      </c>
      <c r="AX61" t="str">
        <f t="shared" si="6"/>
        <v>No</v>
      </c>
      <c r="AY61" t="str">
        <f>""</f>
        <v/>
      </c>
      <c r="AZ61" t="s">
        <v>12</v>
      </c>
      <c r="BA61" t="s">
        <v>110</v>
      </c>
      <c r="BB61" t="s">
        <v>110</v>
      </c>
    </row>
    <row r="62" spans="1:54">
      <c r="A62" s="7" t="str">
        <f t="shared" si="7"/>
        <v>PHKG5SC159S</v>
      </c>
      <c r="B62" s="8" t="e">
        <f t="shared" si="8"/>
        <v>#VALUE!</v>
      </c>
      <c r="C62" t="str">
        <f t="shared" si="23"/>
        <v>PHKG</v>
      </c>
      <c r="D62" t="str">
        <f>"5SC"</f>
        <v>5SC</v>
      </c>
      <c r="E62" t="str">
        <f>"ZHI HANG 869"</f>
        <v>ZHI HANG 869</v>
      </c>
      <c r="F62" t="str">
        <f>""</f>
        <v/>
      </c>
      <c r="G62" t="str">
        <f t="shared" si="0"/>
        <v>OOCL</v>
      </c>
      <c r="H62" t="str">
        <f>""</f>
        <v/>
      </c>
      <c r="I62" t="str">
        <f>"159"</f>
        <v>159</v>
      </c>
      <c r="J62" t="str">
        <f t="shared" si="57"/>
        <v>S</v>
      </c>
      <c r="K62" t="str">
        <f>"4"</f>
        <v>4</v>
      </c>
      <c r="L62" t="str">
        <f>"HKG05"</f>
        <v>HKG05</v>
      </c>
      <c r="M62" t="str">
        <f>"Asia Container Terminal Ltd."</f>
        <v>Asia Container Terminal Ltd.</v>
      </c>
      <c r="N62" t="str">
        <f t="shared" si="1"/>
        <v>HKG</v>
      </c>
      <c r="O62" t="str">
        <f>"3"</f>
        <v>3</v>
      </c>
      <c r="P62" t="str">
        <f>""</f>
        <v/>
      </c>
      <c r="Q62" t="str">
        <f t="shared" si="58"/>
        <v>159S</v>
      </c>
      <c r="R62" t="str">
        <f t="shared" si="58"/>
        <v>159S</v>
      </c>
      <c r="S62" t="str">
        <f>""</f>
        <v/>
      </c>
      <c r="T62" t="str">
        <f>"31 Jul 2019 19:00"</f>
        <v>31 Jul 2019 19:00</v>
      </c>
      <c r="U62" t="str">
        <f>"31 Jul 2019 20:00"</f>
        <v>31 Jul 2019 20:00</v>
      </c>
      <c r="V62" t="str">
        <f t="shared" si="45"/>
        <v>1h</v>
      </c>
      <c r="W62" t="str">
        <f>"31 Jul 2019 19:00"</f>
        <v>31 Jul 2019 19:00</v>
      </c>
      <c r="X62" t="str">
        <f>""</f>
        <v/>
      </c>
      <c r="Y62" t="str">
        <f>"31 Jul 2019 20:00"</f>
        <v>31 Jul 2019 20:00</v>
      </c>
      <c r="Z62" t="str">
        <f>""</f>
        <v/>
      </c>
      <c r="AA62" t="str">
        <f>""</f>
        <v/>
      </c>
      <c r="AB62" t="str">
        <f t="shared" si="3"/>
        <v>NN</v>
      </c>
      <c r="AC62" t="str">
        <f>"LL"</f>
        <v>LL</v>
      </c>
      <c r="AD62" t="str">
        <f t="shared" si="59"/>
        <v>0</v>
      </c>
      <c r="AE62" t="str">
        <f t="shared" si="59"/>
        <v>0</v>
      </c>
      <c r="AF62" t="str">
        <f>"31 Jul 2019 19:00"</f>
        <v>31 Jul 2019 19:00</v>
      </c>
      <c r="AG62" t="str">
        <f>"31 Jul 2019 19:00"</f>
        <v>31 Jul 2019 19:00</v>
      </c>
      <c r="AH62" t="str">
        <f>"31 Jul 2019 19:00"</f>
        <v>31 Jul 2019 19:00</v>
      </c>
      <c r="AI62" t="str">
        <f>"31 Jul 2019 19:00"</f>
        <v>31 Jul 2019 19:00</v>
      </c>
      <c r="AJ62" t="str">
        <f>"31 Jul 2019 19:00"</f>
        <v>31 Jul 2019 19:00</v>
      </c>
      <c r="AK62" t="str">
        <f>"31 Jul 2019 20:00"</f>
        <v>31 Jul 2019 20:00</v>
      </c>
      <c r="AL62" t="str">
        <f>"31 Jul 2019 20:00"</f>
        <v>31 Jul 2019 20:00</v>
      </c>
      <c r="AM62" t="str">
        <f>"31 Jul 2019 20:00"</f>
        <v>31 Jul 2019 20:00</v>
      </c>
      <c r="AN62" t="str">
        <f>"31 Jul 2019 20:00"</f>
        <v>31 Jul 2019 20:00</v>
      </c>
      <c r="AO62" t="str">
        <f>"31 Jul 2019 20:00"</f>
        <v>31 Jul 2019 20:00</v>
      </c>
      <c r="AP62" t="str">
        <f>""</f>
        <v/>
      </c>
      <c r="AQ62" t="str">
        <f>"31 Jul 2019 19:00"</f>
        <v>31 Jul 2019 19:00</v>
      </c>
      <c r="AR62" t="str">
        <f t="shared" si="56"/>
        <v>Y</v>
      </c>
      <c r="AS62" t="str">
        <f t="shared" si="56"/>
        <v>Y</v>
      </c>
      <c r="AT62" t="str">
        <f t="shared" si="56"/>
        <v>Y</v>
      </c>
      <c r="AU62" t="str">
        <f t="shared" ref="AU62:AV81" si="60">"N"</f>
        <v>N</v>
      </c>
      <c r="AV62" t="str">
        <f t="shared" si="60"/>
        <v>N</v>
      </c>
      <c r="AW62" t="str">
        <f>""</f>
        <v/>
      </c>
      <c r="AX62" t="str">
        <f t="shared" si="6"/>
        <v>No</v>
      </c>
      <c r="AY62" t="str">
        <f>""</f>
        <v/>
      </c>
      <c r="AZ62" t="s">
        <v>12</v>
      </c>
      <c r="BA62" t="s">
        <v>110</v>
      </c>
      <c r="BB62" t="s">
        <v>110</v>
      </c>
    </row>
    <row r="63" spans="1:54">
      <c r="A63" s="7" t="str">
        <f t="shared" si="7"/>
        <v>PHKG5WG034S</v>
      </c>
      <c r="B63" s="8" t="e">
        <f t="shared" si="8"/>
        <v>#VALUE!</v>
      </c>
      <c r="C63" t="str">
        <f t="shared" si="23"/>
        <v>PHKG</v>
      </c>
      <c r="D63" t="str">
        <f>"5WG"</f>
        <v>5WG</v>
      </c>
      <c r="E63" t="str">
        <f>"HUI JIN QIAO 739"</f>
        <v>HUI JIN QIAO 739</v>
      </c>
      <c r="F63" t="str">
        <f>""</f>
        <v/>
      </c>
      <c r="G63" t="str">
        <f t="shared" si="0"/>
        <v>OOCL</v>
      </c>
      <c r="H63" t="str">
        <f>""</f>
        <v/>
      </c>
      <c r="I63" t="str">
        <f>"034"</f>
        <v>034</v>
      </c>
      <c r="J63" t="str">
        <f t="shared" si="57"/>
        <v>S</v>
      </c>
      <c r="K63" t="str">
        <f>"2"</f>
        <v>2</v>
      </c>
      <c r="L63" t="str">
        <f>"HKG02"</f>
        <v>HKG02</v>
      </c>
      <c r="M63" t="str">
        <f>"HIT - Hongkong International Terminals"</f>
        <v>HIT - Hongkong International Terminals</v>
      </c>
      <c r="N63" t="str">
        <f t="shared" si="1"/>
        <v>HKG</v>
      </c>
      <c r="O63" t="str">
        <f>"1"</f>
        <v>1</v>
      </c>
      <c r="P63" t="str">
        <f>""</f>
        <v/>
      </c>
      <c r="Q63" t="str">
        <f>"034S"</f>
        <v>034S</v>
      </c>
      <c r="R63" t="str">
        <f>"034S"</f>
        <v>034S</v>
      </c>
      <c r="S63" t="str">
        <f>""</f>
        <v/>
      </c>
      <c r="T63" t="str">
        <f>"31 Jul 2019 11:00"</f>
        <v>31 Jul 2019 11:00</v>
      </c>
      <c r="U63" t="str">
        <f>"31 Jul 2019 12:00"</f>
        <v>31 Jul 2019 12:00</v>
      </c>
      <c r="V63" t="str">
        <f t="shared" si="45"/>
        <v>1h</v>
      </c>
      <c r="W63" t="str">
        <f>"31 Jul 2019 11:00"</f>
        <v>31 Jul 2019 11:00</v>
      </c>
      <c r="X63" t="str">
        <f>"30 Jul 2019 15:39"</f>
        <v>30 Jul 2019 15:39</v>
      </c>
      <c r="Y63" t="str">
        <f>"31 Jul 2019 12:00"</f>
        <v>31 Jul 2019 12:00</v>
      </c>
      <c r="Z63" t="str">
        <f>""</f>
        <v/>
      </c>
      <c r="AA63" t="str">
        <f>""</f>
        <v/>
      </c>
      <c r="AB63" t="str">
        <f t="shared" si="3"/>
        <v>NN</v>
      </c>
      <c r="AC63" t="str">
        <f>"AL"</f>
        <v>AL</v>
      </c>
      <c r="AD63" t="str">
        <f>"-19"</f>
        <v>-19</v>
      </c>
      <c r="AE63" t="str">
        <f t="shared" si="59"/>
        <v>0</v>
      </c>
      <c r="AF63" t="str">
        <f>"31 Jul 2019 11:00"</f>
        <v>31 Jul 2019 11:00</v>
      </c>
      <c r="AG63" t="str">
        <f>"31 Jul 2019 11:00"</f>
        <v>31 Jul 2019 11:00</v>
      </c>
      <c r="AH63" t="str">
        <f>"31 Jul 2019 11:00"</f>
        <v>31 Jul 2019 11:00</v>
      </c>
      <c r="AI63" t="str">
        <f>"31 Jul 2019 11:00"</f>
        <v>31 Jul 2019 11:00</v>
      </c>
      <c r="AJ63" t="str">
        <f>"31 Jul 2019 11:00"</f>
        <v>31 Jul 2019 11:00</v>
      </c>
      <c r="AK63" t="str">
        <f>"31 Jul 2019 12:00"</f>
        <v>31 Jul 2019 12:00</v>
      </c>
      <c r="AL63" t="str">
        <f>"31 Jul 2019 12:00"</f>
        <v>31 Jul 2019 12:00</v>
      </c>
      <c r="AM63" t="str">
        <f>"31 Jul 2019 12:00"</f>
        <v>31 Jul 2019 12:00</v>
      </c>
      <c r="AN63" t="str">
        <f>"31 Jul 2019 12:00"</f>
        <v>31 Jul 2019 12:00</v>
      </c>
      <c r="AO63" t="str">
        <f>"31 Jul 2019 12:00"</f>
        <v>31 Jul 2019 12:00</v>
      </c>
      <c r="AP63" t="str">
        <f>""</f>
        <v/>
      </c>
      <c r="AQ63" t="str">
        <f>"31 Jul 2019 11:00"</f>
        <v>31 Jul 2019 11:00</v>
      </c>
      <c r="AR63" t="str">
        <f t="shared" si="56"/>
        <v>Y</v>
      </c>
      <c r="AS63" t="str">
        <f t="shared" si="56"/>
        <v>Y</v>
      </c>
      <c r="AT63" t="str">
        <f t="shared" si="56"/>
        <v>Y</v>
      </c>
      <c r="AU63" t="str">
        <f t="shared" si="60"/>
        <v>N</v>
      </c>
      <c r="AV63" t="str">
        <f t="shared" si="60"/>
        <v>N</v>
      </c>
      <c r="AW63" t="str">
        <f>""</f>
        <v/>
      </c>
      <c r="AX63" t="str">
        <f t="shared" si="6"/>
        <v>No</v>
      </c>
      <c r="AY63" t="str">
        <f>""</f>
        <v/>
      </c>
      <c r="AZ63" t="s">
        <v>12</v>
      </c>
      <c r="BA63" t="s">
        <v>110</v>
      </c>
      <c r="BB63" t="s">
        <v>110</v>
      </c>
    </row>
    <row r="64" spans="1:54">
      <c r="A64" s="7" t="str">
        <f t="shared" si="7"/>
        <v>PHKG5WG034S</v>
      </c>
      <c r="B64" s="8" t="e">
        <f t="shared" si="8"/>
        <v>#VALUE!</v>
      </c>
      <c r="C64" t="str">
        <f t="shared" si="23"/>
        <v>PHKG</v>
      </c>
      <c r="D64" t="str">
        <f>"5WG"</f>
        <v>5WG</v>
      </c>
      <c r="E64" t="str">
        <f>"HUI JIN QIAO 739"</f>
        <v>HUI JIN QIAO 739</v>
      </c>
      <c r="F64" t="str">
        <f>""</f>
        <v/>
      </c>
      <c r="G64" t="str">
        <f t="shared" si="0"/>
        <v>OOCL</v>
      </c>
      <c r="H64" t="str">
        <f>""</f>
        <v/>
      </c>
      <c r="I64" t="str">
        <f>"034"</f>
        <v>034</v>
      </c>
      <c r="J64" t="str">
        <f t="shared" si="57"/>
        <v>S</v>
      </c>
      <c r="K64" t="str">
        <f>"3"</f>
        <v>3</v>
      </c>
      <c r="L64" t="str">
        <f>"HKG04"</f>
        <v>HKG04</v>
      </c>
      <c r="M64" t="str">
        <f>"Cosco - HIT Terminals (HK) Ltd"</f>
        <v>Cosco - HIT Terminals (HK) Ltd</v>
      </c>
      <c r="N64" t="str">
        <f t="shared" si="1"/>
        <v>HKG</v>
      </c>
      <c r="O64" t="str">
        <f>"2"</f>
        <v>2</v>
      </c>
      <c r="P64" t="str">
        <f>""</f>
        <v/>
      </c>
      <c r="Q64" t="str">
        <f>"034S"</f>
        <v>034S</v>
      </c>
      <c r="R64" t="str">
        <f>"034S"</f>
        <v>034S</v>
      </c>
      <c r="S64" t="str">
        <f>""</f>
        <v/>
      </c>
      <c r="T64" t="str">
        <f>"31 Jul 2019 17:00"</f>
        <v>31 Jul 2019 17:00</v>
      </c>
      <c r="U64" t="str">
        <f>"31 Jul 2019 19:00"</f>
        <v>31 Jul 2019 19:00</v>
      </c>
      <c r="V64" t="str">
        <f>"2h"</f>
        <v>2h</v>
      </c>
      <c r="W64" t="str">
        <f>"31 Jul 2019 17:00"</f>
        <v>31 Jul 2019 17:00</v>
      </c>
      <c r="X64" t="str">
        <f>""</f>
        <v/>
      </c>
      <c r="Y64" t="str">
        <f>"31 Jul 2019 19:00"</f>
        <v>31 Jul 2019 19:00</v>
      </c>
      <c r="Z64" t="str">
        <f>""</f>
        <v/>
      </c>
      <c r="AA64" t="str">
        <f>""</f>
        <v/>
      </c>
      <c r="AB64" t="str">
        <f t="shared" si="3"/>
        <v>NN</v>
      </c>
      <c r="AC64" t="str">
        <f>"LL"</f>
        <v>LL</v>
      </c>
      <c r="AD64" t="str">
        <f>"0"</f>
        <v>0</v>
      </c>
      <c r="AE64" t="str">
        <f t="shared" si="59"/>
        <v>0</v>
      </c>
      <c r="AF64" t="str">
        <f>"31 Jul 2019 17:00"</f>
        <v>31 Jul 2019 17:00</v>
      </c>
      <c r="AG64" t="str">
        <f>"31 Jul 2019 17:00"</f>
        <v>31 Jul 2019 17:00</v>
      </c>
      <c r="AH64" t="str">
        <f>"31 Jul 2019 17:00"</f>
        <v>31 Jul 2019 17:00</v>
      </c>
      <c r="AI64" t="str">
        <f>"31 Jul 2019 17:00"</f>
        <v>31 Jul 2019 17:00</v>
      </c>
      <c r="AJ64" t="str">
        <f>"31 Jul 2019 17:00"</f>
        <v>31 Jul 2019 17:00</v>
      </c>
      <c r="AK64" t="str">
        <f>"31 Jul 2019 19:00"</f>
        <v>31 Jul 2019 19:00</v>
      </c>
      <c r="AL64" t="str">
        <f>"31 Jul 2019 19:00"</f>
        <v>31 Jul 2019 19:00</v>
      </c>
      <c r="AM64" t="str">
        <f>"31 Jul 2019 19:00"</f>
        <v>31 Jul 2019 19:00</v>
      </c>
      <c r="AN64" t="str">
        <f>"31 Jul 2019 19:00"</f>
        <v>31 Jul 2019 19:00</v>
      </c>
      <c r="AO64" t="str">
        <f>"31 Jul 2019 19:00"</f>
        <v>31 Jul 2019 19:00</v>
      </c>
      <c r="AP64" t="str">
        <f>""</f>
        <v/>
      </c>
      <c r="AQ64" t="str">
        <f>"31 Jul 2019 17:00"</f>
        <v>31 Jul 2019 17:00</v>
      </c>
      <c r="AR64" t="str">
        <f t="shared" si="56"/>
        <v>Y</v>
      </c>
      <c r="AS64" t="str">
        <f t="shared" si="56"/>
        <v>Y</v>
      </c>
      <c r="AT64" t="str">
        <f t="shared" si="56"/>
        <v>Y</v>
      </c>
      <c r="AU64" t="str">
        <f t="shared" si="60"/>
        <v>N</v>
      </c>
      <c r="AV64" t="str">
        <f t="shared" si="60"/>
        <v>N</v>
      </c>
      <c r="AW64" t="str">
        <f>""</f>
        <v/>
      </c>
      <c r="AX64" t="str">
        <f t="shared" si="6"/>
        <v>No</v>
      </c>
      <c r="AY64" t="str">
        <f>""</f>
        <v/>
      </c>
      <c r="AZ64" t="s">
        <v>12</v>
      </c>
      <c r="BA64" t="s">
        <v>110</v>
      </c>
      <c r="BB64" t="s">
        <v>123</v>
      </c>
    </row>
    <row r="65" spans="1:54">
      <c r="A65" s="7" t="str">
        <f t="shared" si="7"/>
        <v>PHKG1BT403S</v>
      </c>
      <c r="B65" s="8" t="e">
        <f t="shared" si="8"/>
        <v>#VALUE!</v>
      </c>
      <c r="C65" t="str">
        <f t="shared" si="23"/>
        <v>PHKG</v>
      </c>
      <c r="D65" t="str">
        <f>"1BT"</f>
        <v>1BT</v>
      </c>
      <c r="E65" t="str">
        <f>"ZHU CHUAN 2003"</f>
        <v>ZHU CHUAN 2003</v>
      </c>
      <c r="F65" t="str">
        <f>""</f>
        <v/>
      </c>
      <c r="G65" t="str">
        <f t="shared" si="0"/>
        <v>OOCL</v>
      </c>
      <c r="H65" t="str">
        <f>""</f>
        <v/>
      </c>
      <c r="I65" t="str">
        <f>"403"</f>
        <v>403</v>
      </c>
      <c r="J65" t="str">
        <f t="shared" si="57"/>
        <v>S</v>
      </c>
      <c r="K65" t="str">
        <f>"2"</f>
        <v>2</v>
      </c>
      <c r="L65" t="str">
        <f>"HKG13"</f>
        <v>HKG13</v>
      </c>
      <c r="M65" t="str">
        <f>"River Trade Terminal Co., Ltd"</f>
        <v>River Trade Terminal Co., Ltd</v>
      </c>
      <c r="N65" t="str">
        <f t="shared" si="1"/>
        <v>HKG</v>
      </c>
      <c r="O65" t="str">
        <f>"1"</f>
        <v>1</v>
      </c>
      <c r="P65" t="str">
        <f>""</f>
        <v/>
      </c>
      <c r="Q65" t="str">
        <f>"403S"</f>
        <v>403S</v>
      </c>
      <c r="R65" t="str">
        <f>"403S"</f>
        <v>403S</v>
      </c>
      <c r="S65" t="str">
        <f>""</f>
        <v/>
      </c>
      <c r="T65" t="str">
        <f>"31 Jul 2019 12:00"</f>
        <v>31 Jul 2019 12:00</v>
      </c>
      <c r="U65" t="str">
        <f>"31 Jul 2019 13:00"</f>
        <v>31 Jul 2019 13:00</v>
      </c>
      <c r="V65" t="str">
        <f>"1h"</f>
        <v>1h</v>
      </c>
      <c r="W65" t="str">
        <f>"31 Jul 2019 12:00"</f>
        <v>31 Jul 2019 12:00</v>
      </c>
      <c r="X65" t="str">
        <f>""</f>
        <v/>
      </c>
      <c r="Y65" t="str">
        <f>"31 Jul 2019 13:00"</f>
        <v>31 Jul 2019 13:00</v>
      </c>
      <c r="Z65" t="str">
        <f>""</f>
        <v/>
      </c>
      <c r="AA65" t="str">
        <f>""</f>
        <v/>
      </c>
      <c r="AB65" t="str">
        <f t="shared" si="3"/>
        <v>NN</v>
      </c>
      <c r="AC65" t="str">
        <f>"LL"</f>
        <v>LL</v>
      </c>
      <c r="AD65" t="str">
        <f>"0"</f>
        <v>0</v>
      </c>
      <c r="AE65" t="str">
        <f t="shared" si="59"/>
        <v>0</v>
      </c>
      <c r="AF65" t="str">
        <f t="shared" ref="AF65:AO65" si="61">"31 Jul 2019 12:00"</f>
        <v>31 Jul 2019 12:00</v>
      </c>
      <c r="AG65" t="str">
        <f t="shared" si="61"/>
        <v>31 Jul 2019 12:00</v>
      </c>
      <c r="AH65" t="str">
        <f t="shared" si="61"/>
        <v>31 Jul 2019 12:00</v>
      </c>
      <c r="AI65" t="str">
        <f t="shared" si="61"/>
        <v>31 Jul 2019 12:00</v>
      </c>
      <c r="AJ65" t="str">
        <f t="shared" si="61"/>
        <v>31 Jul 2019 12:00</v>
      </c>
      <c r="AK65" t="str">
        <f t="shared" si="61"/>
        <v>31 Jul 2019 12:00</v>
      </c>
      <c r="AL65" t="str">
        <f t="shared" si="61"/>
        <v>31 Jul 2019 12:00</v>
      </c>
      <c r="AM65" t="str">
        <f t="shared" si="61"/>
        <v>31 Jul 2019 12:00</v>
      </c>
      <c r="AN65" t="str">
        <f t="shared" si="61"/>
        <v>31 Jul 2019 12:00</v>
      </c>
      <c r="AO65" t="str">
        <f t="shared" si="61"/>
        <v>31 Jul 2019 12:00</v>
      </c>
      <c r="AP65" t="str">
        <f>""</f>
        <v/>
      </c>
      <c r="AQ65" t="str">
        <f>"31 Jul 2019 12:00"</f>
        <v>31 Jul 2019 12:00</v>
      </c>
      <c r="AR65" t="str">
        <f t="shared" si="56"/>
        <v>Y</v>
      </c>
      <c r="AS65" t="str">
        <f t="shared" si="56"/>
        <v>Y</v>
      </c>
      <c r="AT65" t="str">
        <f t="shared" si="56"/>
        <v>Y</v>
      </c>
      <c r="AU65" t="str">
        <f t="shared" si="60"/>
        <v>N</v>
      </c>
      <c r="AV65" t="str">
        <f t="shared" si="60"/>
        <v>N</v>
      </c>
      <c r="AW65" t="str">
        <f>""</f>
        <v/>
      </c>
      <c r="AX65" t="str">
        <f t="shared" si="6"/>
        <v>No</v>
      </c>
      <c r="AY65" t="str">
        <f>""</f>
        <v/>
      </c>
      <c r="AZ65" t="s">
        <v>12</v>
      </c>
      <c r="BA65" t="s">
        <v>110</v>
      </c>
      <c r="BB65" t="s">
        <v>110</v>
      </c>
    </row>
    <row r="66" spans="1:54">
      <c r="A66" s="7" t="str">
        <f t="shared" si="7"/>
        <v>PHKG1BT403S</v>
      </c>
      <c r="B66" s="8" t="e">
        <f t="shared" si="8"/>
        <v>#VALUE!</v>
      </c>
      <c r="C66" t="str">
        <f t="shared" si="23"/>
        <v>PHKG</v>
      </c>
      <c r="D66" t="str">
        <f>"1BT"</f>
        <v>1BT</v>
      </c>
      <c r="E66" t="str">
        <f>"ZHU CHUAN 2003"</f>
        <v>ZHU CHUAN 2003</v>
      </c>
      <c r="F66" t="str">
        <f>""</f>
        <v/>
      </c>
      <c r="G66" t="str">
        <f t="shared" ref="G66:G129" si="62">"OOCL"</f>
        <v>OOCL</v>
      </c>
      <c r="H66" t="str">
        <f>""</f>
        <v/>
      </c>
      <c r="I66" t="str">
        <f>"403"</f>
        <v>403</v>
      </c>
      <c r="J66" t="str">
        <f t="shared" si="57"/>
        <v>S</v>
      </c>
      <c r="K66" t="str">
        <f>"3"</f>
        <v>3</v>
      </c>
      <c r="L66" t="str">
        <f>"HKG02"</f>
        <v>HKG02</v>
      </c>
      <c r="M66" t="str">
        <f>"HIT - Hongkong International Terminals"</f>
        <v>HIT - Hongkong International Terminals</v>
      </c>
      <c r="N66" t="str">
        <f t="shared" ref="N66:N129" si="63">"HKG"</f>
        <v>HKG</v>
      </c>
      <c r="O66" t="str">
        <f>"2"</f>
        <v>2</v>
      </c>
      <c r="P66" t="str">
        <f>""</f>
        <v/>
      </c>
      <c r="Q66" t="str">
        <f>"403S"</f>
        <v>403S</v>
      </c>
      <c r="R66" t="str">
        <f>"403S"</f>
        <v>403S</v>
      </c>
      <c r="S66" t="str">
        <f>""</f>
        <v/>
      </c>
      <c r="T66" t="str">
        <f>"31 Jul 2019 17:00"</f>
        <v>31 Jul 2019 17:00</v>
      </c>
      <c r="U66" t="str">
        <f>"31 Jul 2019 18:00"</f>
        <v>31 Jul 2019 18:00</v>
      </c>
      <c r="V66" t="str">
        <f>"1h"</f>
        <v>1h</v>
      </c>
      <c r="W66" t="str">
        <f>"31 Jul 2019 17:00"</f>
        <v>31 Jul 2019 17:00</v>
      </c>
      <c r="X66" t="str">
        <f>""</f>
        <v/>
      </c>
      <c r="Y66" t="str">
        <f>"31 Jul 2019 18:00"</f>
        <v>31 Jul 2019 18:00</v>
      </c>
      <c r="Z66" t="str">
        <f>""</f>
        <v/>
      </c>
      <c r="AA66" t="str">
        <f>""</f>
        <v/>
      </c>
      <c r="AB66" t="str">
        <f t="shared" ref="AB66:AB129" si="64">"NN"</f>
        <v>NN</v>
      </c>
      <c r="AC66" t="str">
        <f>"LL"</f>
        <v>LL</v>
      </c>
      <c r="AD66" t="str">
        <f>"0"</f>
        <v>0</v>
      </c>
      <c r="AE66" t="str">
        <f t="shared" si="59"/>
        <v>0</v>
      </c>
      <c r="AF66" t="str">
        <f>"31 Jul 2019 17:00"</f>
        <v>31 Jul 2019 17:00</v>
      </c>
      <c r="AG66" t="str">
        <f>"31 Jul 2019 17:00"</f>
        <v>31 Jul 2019 17:00</v>
      </c>
      <c r="AH66" t="str">
        <f>"31 Jul 2019 17:00"</f>
        <v>31 Jul 2019 17:00</v>
      </c>
      <c r="AI66" t="str">
        <f>"31 Jul 2019 17:00"</f>
        <v>31 Jul 2019 17:00</v>
      </c>
      <c r="AJ66" t="str">
        <f>"31 Jul 2019 17:00"</f>
        <v>31 Jul 2019 17:00</v>
      </c>
      <c r="AK66" t="str">
        <f>"31 Jul 2019 18:00"</f>
        <v>31 Jul 2019 18:00</v>
      </c>
      <c r="AL66" t="str">
        <f>"31 Jul 2019 18:00"</f>
        <v>31 Jul 2019 18:00</v>
      </c>
      <c r="AM66" t="str">
        <f>"31 Jul 2019 18:00"</f>
        <v>31 Jul 2019 18:00</v>
      </c>
      <c r="AN66" t="str">
        <f>"31 Jul 2019 18:00"</f>
        <v>31 Jul 2019 18:00</v>
      </c>
      <c r="AO66" t="str">
        <f>"31 Jul 2019 18:00"</f>
        <v>31 Jul 2019 18:00</v>
      </c>
      <c r="AP66" t="str">
        <f>""</f>
        <v/>
      </c>
      <c r="AQ66" t="str">
        <f>"31 Jul 2019 17:00"</f>
        <v>31 Jul 2019 17:00</v>
      </c>
      <c r="AR66" t="str">
        <f t="shared" si="56"/>
        <v>Y</v>
      </c>
      <c r="AS66" t="str">
        <f t="shared" si="56"/>
        <v>Y</v>
      </c>
      <c r="AT66" t="str">
        <f t="shared" si="56"/>
        <v>Y</v>
      </c>
      <c r="AU66" t="str">
        <f t="shared" si="60"/>
        <v>N</v>
      </c>
      <c r="AV66" t="str">
        <f t="shared" si="60"/>
        <v>N</v>
      </c>
      <c r="AW66" t="str">
        <f>""</f>
        <v/>
      </c>
      <c r="AX66" t="str">
        <f t="shared" ref="AX66:AX129" si="65">"No"</f>
        <v>No</v>
      </c>
      <c r="AY66" t="str">
        <f>""</f>
        <v/>
      </c>
      <c r="AZ66" t="s">
        <v>12</v>
      </c>
      <c r="BA66" t="s">
        <v>110</v>
      </c>
      <c r="BB66" t="s">
        <v>110</v>
      </c>
    </row>
    <row r="67" spans="1:54">
      <c r="A67" s="7" t="str">
        <f t="shared" ref="A67:A130" si="66">C67&amp;D67&amp;R67</f>
        <v>PHKG2GG103N</v>
      </c>
      <c r="B67" s="8" t="e">
        <f t="shared" ref="B67:B130" si="67">+AP67-0</f>
        <v>#VALUE!</v>
      </c>
      <c r="C67" t="str">
        <f t="shared" si="23"/>
        <v>PHKG</v>
      </c>
      <c r="D67" t="str">
        <f>"2GG"</f>
        <v>2GG</v>
      </c>
      <c r="E67" t="str">
        <f>"SUI HAI YUN 693"</f>
        <v>SUI HAI YUN 693</v>
      </c>
      <c r="F67" t="str">
        <f>""</f>
        <v/>
      </c>
      <c r="G67" t="str">
        <f t="shared" si="62"/>
        <v>OOCL</v>
      </c>
      <c r="H67" t="str">
        <f>""</f>
        <v/>
      </c>
      <c r="I67" t="str">
        <f>"103"</f>
        <v>103</v>
      </c>
      <c r="J67" t="str">
        <f>"N"</f>
        <v>N</v>
      </c>
      <c r="K67" t="str">
        <f>"1"</f>
        <v>1</v>
      </c>
      <c r="L67" t="str">
        <f>"HKG02"</f>
        <v>HKG02</v>
      </c>
      <c r="M67" t="str">
        <f>"HIT - Hongkong International Terminals"</f>
        <v>HIT - Hongkong International Terminals</v>
      </c>
      <c r="N67" t="str">
        <f t="shared" si="63"/>
        <v>HKG</v>
      </c>
      <c r="O67" t="str">
        <f>"1"</f>
        <v>1</v>
      </c>
      <c r="P67" t="str">
        <f>""</f>
        <v/>
      </c>
      <c r="Q67" t="str">
        <f>"103N"</f>
        <v>103N</v>
      </c>
      <c r="R67" t="str">
        <f>"103N"</f>
        <v>103N</v>
      </c>
      <c r="S67" t="str">
        <f>""</f>
        <v/>
      </c>
      <c r="T67" t="str">
        <f>"31 Jul 2019 12:00"</f>
        <v>31 Jul 2019 12:00</v>
      </c>
      <c r="U67" t="str">
        <f>"31 Jul 2019 13:00"</f>
        <v>31 Jul 2019 13:00</v>
      </c>
      <c r="V67" t="str">
        <f>"1h"</f>
        <v>1h</v>
      </c>
      <c r="W67" t="str">
        <f>"31 Jul 2019 12:00"</f>
        <v>31 Jul 2019 12:00</v>
      </c>
      <c r="X67" t="str">
        <f>""</f>
        <v/>
      </c>
      <c r="Y67" t="str">
        <f>"31 Jul 2019 13:00"</f>
        <v>31 Jul 2019 13:00</v>
      </c>
      <c r="Z67" t="str">
        <f>""</f>
        <v/>
      </c>
      <c r="AA67" t="str">
        <f>""</f>
        <v/>
      </c>
      <c r="AB67" t="str">
        <f t="shared" si="64"/>
        <v>NN</v>
      </c>
      <c r="AC67" t="str">
        <f>"LL"</f>
        <v>LL</v>
      </c>
      <c r="AD67" t="str">
        <f>"0"</f>
        <v>0</v>
      </c>
      <c r="AE67" t="str">
        <f t="shared" si="59"/>
        <v>0</v>
      </c>
      <c r="AF67" t="str">
        <f>"31 Jul 2019 12:00"</f>
        <v>31 Jul 2019 12:00</v>
      </c>
      <c r="AG67" t="str">
        <f>"31 Jul 2019 12:00"</f>
        <v>31 Jul 2019 12:00</v>
      </c>
      <c r="AH67" t="str">
        <f>"31 Jul 2019 12:00"</f>
        <v>31 Jul 2019 12:00</v>
      </c>
      <c r="AI67" t="str">
        <f>"31 Jul 2019 12:00"</f>
        <v>31 Jul 2019 12:00</v>
      </c>
      <c r="AJ67" t="str">
        <f>"31 Jul 2019 12:00"</f>
        <v>31 Jul 2019 12:00</v>
      </c>
      <c r="AK67" t="str">
        <f>"26 Jul 2019 00:00"</f>
        <v>26 Jul 2019 00:00</v>
      </c>
      <c r="AL67" t="str">
        <f>"26 Jul 2019 00:00"</f>
        <v>26 Jul 2019 00:00</v>
      </c>
      <c r="AM67" t="str">
        <f>"26 Jul 2019 00:00"</f>
        <v>26 Jul 2019 00:00</v>
      </c>
      <c r="AN67" t="str">
        <f>"26 Jul 2019 00:00"</f>
        <v>26 Jul 2019 00:00</v>
      </c>
      <c r="AO67" t="str">
        <f>"26 Jul 2019 00:00"</f>
        <v>26 Jul 2019 00:00</v>
      </c>
      <c r="AP67" t="str">
        <f>""</f>
        <v/>
      </c>
      <c r="AQ67" t="str">
        <f>"31 Jul 2019 12:00"</f>
        <v>31 Jul 2019 12:00</v>
      </c>
      <c r="AR67" t="str">
        <f t="shared" si="56"/>
        <v>Y</v>
      </c>
      <c r="AS67" t="str">
        <f t="shared" si="56"/>
        <v>Y</v>
      </c>
      <c r="AT67" t="str">
        <f t="shared" si="56"/>
        <v>Y</v>
      </c>
      <c r="AU67" t="str">
        <f t="shared" si="60"/>
        <v>N</v>
      </c>
      <c r="AV67" t="str">
        <f t="shared" si="60"/>
        <v>N</v>
      </c>
      <c r="AW67" t="str">
        <f>""</f>
        <v/>
      </c>
      <c r="AX67" t="str">
        <f t="shared" si="65"/>
        <v>No</v>
      </c>
      <c r="AY67" t="str">
        <f>""</f>
        <v/>
      </c>
      <c r="AZ67" t="s">
        <v>12</v>
      </c>
      <c r="BA67" t="s">
        <v>115</v>
      </c>
      <c r="BB67" t="s">
        <v>110</v>
      </c>
    </row>
    <row r="68" spans="1:54">
      <c r="A68" s="7" t="str">
        <f t="shared" si="66"/>
        <v>PHKG2GG103N</v>
      </c>
      <c r="B68" s="8" t="e">
        <f t="shared" si="67"/>
        <v>#VALUE!</v>
      </c>
      <c r="C68" t="str">
        <f t="shared" si="23"/>
        <v>PHKG</v>
      </c>
      <c r="D68" t="str">
        <f>"2GG"</f>
        <v>2GG</v>
      </c>
      <c r="E68" t="str">
        <f>"SUI HAI YUN 693"</f>
        <v>SUI HAI YUN 693</v>
      </c>
      <c r="F68" t="str">
        <f>""</f>
        <v/>
      </c>
      <c r="G68" t="str">
        <f t="shared" si="62"/>
        <v>OOCL</v>
      </c>
      <c r="H68" t="str">
        <f>""</f>
        <v/>
      </c>
      <c r="I68" t="str">
        <f>"103"</f>
        <v>103</v>
      </c>
      <c r="J68" t="str">
        <f>"N"</f>
        <v>N</v>
      </c>
      <c r="K68" t="str">
        <f>"2"</f>
        <v>2</v>
      </c>
      <c r="L68" t="str">
        <f>"HKG13"</f>
        <v>HKG13</v>
      </c>
      <c r="M68" t="str">
        <f>"River Trade Terminal Co., Ltd"</f>
        <v>River Trade Terminal Co., Ltd</v>
      </c>
      <c r="N68" t="str">
        <f t="shared" si="63"/>
        <v>HKG</v>
      </c>
      <c r="O68" t="str">
        <f>"2"</f>
        <v>2</v>
      </c>
      <c r="P68" t="str">
        <f>""</f>
        <v/>
      </c>
      <c r="Q68" t="str">
        <f>"103N"</f>
        <v>103N</v>
      </c>
      <c r="R68" t="str">
        <f>"103N"</f>
        <v>103N</v>
      </c>
      <c r="S68" t="str">
        <f>""</f>
        <v/>
      </c>
      <c r="T68" t="str">
        <f>"31 Jul 2019 14:00"</f>
        <v>31 Jul 2019 14:00</v>
      </c>
      <c r="U68" t="str">
        <f>"31 Jul 2019 15:00"</f>
        <v>31 Jul 2019 15:00</v>
      </c>
      <c r="V68" t="str">
        <f>"1h"</f>
        <v>1h</v>
      </c>
      <c r="W68" t="str">
        <f>"31 Jul 2019 14:00"</f>
        <v>31 Jul 2019 14:00</v>
      </c>
      <c r="X68" t="str">
        <f>""</f>
        <v/>
      </c>
      <c r="Y68" t="str">
        <f>"31 Jul 2019 15:00"</f>
        <v>31 Jul 2019 15:00</v>
      </c>
      <c r="Z68" t="str">
        <f>""</f>
        <v/>
      </c>
      <c r="AA68" t="str">
        <f>""</f>
        <v/>
      </c>
      <c r="AB68" t="str">
        <f t="shared" si="64"/>
        <v>NN</v>
      </c>
      <c r="AC68" t="str">
        <f>"LL"</f>
        <v>LL</v>
      </c>
      <c r="AD68" t="str">
        <f>"0"</f>
        <v>0</v>
      </c>
      <c r="AE68" t="str">
        <f t="shared" si="59"/>
        <v>0</v>
      </c>
      <c r="AF68" t="str">
        <f>"02 Aug 2019 01:00"</f>
        <v>02 Aug 2019 01:00</v>
      </c>
      <c r="AG68" t="str">
        <f>"02 Aug 2019 01:00"</f>
        <v>02 Aug 2019 01:00</v>
      </c>
      <c r="AH68" t="str">
        <f>"02 Aug 2019 01:00"</f>
        <v>02 Aug 2019 01:00</v>
      </c>
      <c r="AI68" t="str">
        <f>"02 Aug 2019 01:00"</f>
        <v>02 Aug 2019 01:00</v>
      </c>
      <c r="AJ68" t="str">
        <f>"02 Aug 2019 01:00"</f>
        <v>02 Aug 2019 01:00</v>
      </c>
      <c r="AK68" t="str">
        <f>"26 Jul 2019 02:00"</f>
        <v>26 Jul 2019 02:00</v>
      </c>
      <c r="AL68" t="str">
        <f>"26 Jul 2019 02:00"</f>
        <v>26 Jul 2019 02:00</v>
      </c>
      <c r="AM68" t="str">
        <f>"26 Jul 2019 02:00"</f>
        <v>26 Jul 2019 02:00</v>
      </c>
      <c r="AN68" t="str">
        <f>"26 Jul 2019 02:00"</f>
        <v>26 Jul 2019 02:00</v>
      </c>
      <c r="AO68" t="str">
        <f>"26 Jul 2019 02:00"</f>
        <v>26 Jul 2019 02:00</v>
      </c>
      <c r="AP68" t="str">
        <f>""</f>
        <v/>
      </c>
      <c r="AQ68" t="str">
        <f>"02 Aug 2019 01:00"</f>
        <v>02 Aug 2019 01:00</v>
      </c>
      <c r="AR68" t="str">
        <f t="shared" si="56"/>
        <v>Y</v>
      </c>
      <c r="AS68" t="str">
        <f t="shared" si="56"/>
        <v>Y</v>
      </c>
      <c r="AT68" t="str">
        <f t="shared" si="56"/>
        <v>Y</v>
      </c>
      <c r="AU68" t="str">
        <f t="shared" si="60"/>
        <v>N</v>
      </c>
      <c r="AV68" t="str">
        <f t="shared" si="60"/>
        <v>N</v>
      </c>
      <c r="AW68" t="str">
        <f>""</f>
        <v/>
      </c>
      <c r="AX68" t="str">
        <f t="shared" si="65"/>
        <v>No</v>
      </c>
      <c r="AY68" t="str">
        <f>""</f>
        <v/>
      </c>
      <c r="AZ68" t="s">
        <v>12</v>
      </c>
      <c r="BA68" t="s">
        <v>110</v>
      </c>
      <c r="BB68" t="s">
        <v>124</v>
      </c>
    </row>
    <row r="69" spans="1:54">
      <c r="A69" s="7" t="str">
        <f t="shared" si="66"/>
        <v>PHKG5GL221S</v>
      </c>
      <c r="B69" s="8" t="e">
        <f t="shared" si="67"/>
        <v>#VALUE!</v>
      </c>
      <c r="C69" t="str">
        <f t="shared" si="23"/>
        <v>PHKG</v>
      </c>
      <c r="D69" t="str">
        <f>"5GL"</f>
        <v>5GL</v>
      </c>
      <c r="E69" t="str">
        <f>"DA CHENG 15"</f>
        <v>DA CHENG 15</v>
      </c>
      <c r="F69" t="str">
        <f>""</f>
        <v/>
      </c>
      <c r="G69" t="str">
        <f t="shared" si="62"/>
        <v>OOCL</v>
      </c>
      <c r="H69" t="str">
        <f>""</f>
        <v/>
      </c>
      <c r="I69" t="str">
        <f>"221"</f>
        <v>221</v>
      </c>
      <c r="J69" t="str">
        <f>"S"</f>
        <v>S</v>
      </c>
      <c r="K69" t="str">
        <f>"2"</f>
        <v>2</v>
      </c>
      <c r="L69" t="str">
        <f>"HKG02"</f>
        <v>HKG02</v>
      </c>
      <c r="M69" t="str">
        <f>"HIT - Hongkong International Terminals"</f>
        <v>HIT - Hongkong International Terminals</v>
      </c>
      <c r="N69" t="str">
        <f t="shared" si="63"/>
        <v>HKG</v>
      </c>
      <c r="O69" t="str">
        <f t="shared" ref="O69:O74" si="68">"1"</f>
        <v>1</v>
      </c>
      <c r="P69" t="str">
        <f>""</f>
        <v/>
      </c>
      <c r="Q69" t="str">
        <f>"221S"</f>
        <v>221S</v>
      </c>
      <c r="R69" t="str">
        <f>"221S"</f>
        <v>221S</v>
      </c>
      <c r="S69" t="str">
        <f>""</f>
        <v/>
      </c>
      <c r="T69" t="str">
        <f>"31 Jul 2019 12:00"</f>
        <v>31 Jul 2019 12:00</v>
      </c>
      <c r="U69" t="str">
        <f>"31 Jul 2019 13:00"</f>
        <v>31 Jul 2019 13:00</v>
      </c>
      <c r="V69" t="str">
        <f>"1h"</f>
        <v>1h</v>
      </c>
      <c r="W69" t="str">
        <f>"31 Jul 2019 12:00"</f>
        <v>31 Jul 2019 12:00</v>
      </c>
      <c r="X69" t="str">
        <f>"30 Jul 2019 17:26"</f>
        <v>30 Jul 2019 17:26</v>
      </c>
      <c r="Y69" t="str">
        <f>"31 Jul 2019 13:00"</f>
        <v>31 Jul 2019 13:00</v>
      </c>
      <c r="Z69" t="str">
        <f>""</f>
        <v/>
      </c>
      <c r="AA69" t="str">
        <f>""</f>
        <v/>
      </c>
      <c r="AB69" t="str">
        <f t="shared" si="64"/>
        <v>NN</v>
      </c>
      <c r="AC69" t="str">
        <f>"AL"</f>
        <v>AL</v>
      </c>
      <c r="AD69" t="str">
        <f>"-19"</f>
        <v>-19</v>
      </c>
      <c r="AE69" t="str">
        <f t="shared" si="59"/>
        <v>0</v>
      </c>
      <c r="AF69" t="str">
        <f>"31 Jul 2019 12:00"</f>
        <v>31 Jul 2019 12:00</v>
      </c>
      <c r="AG69" t="str">
        <f>"31 Jul 2019 12:00"</f>
        <v>31 Jul 2019 12:00</v>
      </c>
      <c r="AH69" t="str">
        <f>"31 Jul 2019 12:00"</f>
        <v>31 Jul 2019 12:00</v>
      </c>
      <c r="AI69" t="str">
        <f>"31 Jul 2019 12:00"</f>
        <v>31 Jul 2019 12:00</v>
      </c>
      <c r="AJ69" t="str">
        <f>"31 Jul 2019 12:00"</f>
        <v>31 Jul 2019 12:00</v>
      </c>
      <c r="AK69" t="str">
        <f>"31 Jul 2019 13:00"</f>
        <v>31 Jul 2019 13:00</v>
      </c>
      <c r="AL69" t="str">
        <f>"31 Jul 2019 13:00"</f>
        <v>31 Jul 2019 13:00</v>
      </c>
      <c r="AM69" t="str">
        <f>"31 Jul 2019 13:00"</f>
        <v>31 Jul 2019 13:00</v>
      </c>
      <c r="AN69" t="str">
        <f>"31 Jul 2019 13:00"</f>
        <v>31 Jul 2019 13:00</v>
      </c>
      <c r="AO69" t="str">
        <f>"31 Jul 2019 13:00"</f>
        <v>31 Jul 2019 13:00</v>
      </c>
      <c r="AP69" t="str">
        <f>""</f>
        <v/>
      </c>
      <c r="AQ69" t="str">
        <f>"31 Jul 2019 12:00"</f>
        <v>31 Jul 2019 12:00</v>
      </c>
      <c r="AR69" t="str">
        <f t="shared" si="56"/>
        <v>Y</v>
      </c>
      <c r="AS69" t="str">
        <f t="shared" si="56"/>
        <v>Y</v>
      </c>
      <c r="AT69" t="str">
        <f t="shared" si="56"/>
        <v>Y</v>
      </c>
      <c r="AU69" t="str">
        <f t="shared" si="60"/>
        <v>N</v>
      </c>
      <c r="AV69" t="str">
        <f t="shared" si="60"/>
        <v>N</v>
      </c>
      <c r="AW69" t="str">
        <f>""</f>
        <v/>
      </c>
      <c r="AX69" t="str">
        <f t="shared" si="65"/>
        <v>No</v>
      </c>
      <c r="AY69" t="str">
        <f>""</f>
        <v/>
      </c>
      <c r="AZ69" t="s">
        <v>12</v>
      </c>
      <c r="BA69" t="s">
        <v>110</v>
      </c>
      <c r="BB69" t="s">
        <v>110</v>
      </c>
    </row>
    <row r="70" spans="1:54">
      <c r="A70" s="7" t="str">
        <f t="shared" si="66"/>
        <v>PHKG9ES090N</v>
      </c>
      <c r="B70" s="8" t="e">
        <f t="shared" si="67"/>
        <v>#VALUE!</v>
      </c>
      <c r="C70" t="str">
        <f t="shared" si="23"/>
        <v>PHKG</v>
      </c>
      <c r="D70" t="str">
        <f>"9ES"</f>
        <v>9ES</v>
      </c>
      <c r="E70" t="str">
        <f>"HUI HONG 818"</f>
        <v>HUI HONG 818</v>
      </c>
      <c r="F70" t="str">
        <f>""</f>
        <v/>
      </c>
      <c r="G70" t="str">
        <f t="shared" si="62"/>
        <v>OOCL</v>
      </c>
      <c r="H70" t="str">
        <f>""</f>
        <v/>
      </c>
      <c r="I70" t="str">
        <f>"089"</f>
        <v>089</v>
      </c>
      <c r="J70" t="str">
        <f>"S"</f>
        <v>S</v>
      </c>
      <c r="K70" t="str">
        <f>"2"</f>
        <v>2</v>
      </c>
      <c r="L70" t="str">
        <f>"HKG02"</f>
        <v>HKG02</v>
      </c>
      <c r="M70" t="str">
        <f>"HIT - Hongkong International Terminals"</f>
        <v>HIT - Hongkong International Terminals</v>
      </c>
      <c r="N70" t="str">
        <f t="shared" si="63"/>
        <v>HKG</v>
      </c>
      <c r="O70" t="str">
        <f t="shared" si="68"/>
        <v>1</v>
      </c>
      <c r="P70" t="str">
        <f>""</f>
        <v/>
      </c>
      <c r="Q70" t="str">
        <f>"089S"</f>
        <v>089S</v>
      </c>
      <c r="R70" t="str">
        <f>"090N"</f>
        <v>090N</v>
      </c>
      <c r="S70" t="str">
        <f>""</f>
        <v/>
      </c>
      <c r="T70" t="str">
        <f>"10 Jul 2019 20:00"</f>
        <v>10 Jul 2019 20:00</v>
      </c>
      <c r="U70" t="str">
        <f>"31 Jul 2019 14:00"</f>
        <v>31 Jul 2019 14:00</v>
      </c>
      <c r="V70" t="str">
        <f>"498h"</f>
        <v>498h</v>
      </c>
      <c r="W70" t="str">
        <f>"10 Jul 2019 20:00"</f>
        <v>10 Jul 2019 20:00</v>
      </c>
      <c r="X70" t="str">
        <f>"11 Jul 2019 23:41"</f>
        <v>11 Jul 2019 23:41</v>
      </c>
      <c r="Y70" t="str">
        <f>"31 Jul 2019 14:00"</f>
        <v>31 Jul 2019 14:00</v>
      </c>
      <c r="Z70" t="str">
        <f>""</f>
        <v/>
      </c>
      <c r="AA70" t="str">
        <f>""</f>
        <v/>
      </c>
      <c r="AB70" t="str">
        <f t="shared" si="64"/>
        <v>NN</v>
      </c>
      <c r="AC70" t="str">
        <f>"AL"</f>
        <v>AL</v>
      </c>
      <c r="AD70" t="str">
        <f>"28"</f>
        <v>28</v>
      </c>
      <c r="AE70" t="str">
        <f t="shared" si="59"/>
        <v>0</v>
      </c>
      <c r="AF70" t="str">
        <f t="shared" ref="AF70:AJ71" si="69">"12 Jul 2019 20:00"</f>
        <v>12 Jul 2019 20:00</v>
      </c>
      <c r="AG70" t="str">
        <f t="shared" si="69"/>
        <v>12 Jul 2019 20:00</v>
      </c>
      <c r="AH70" t="str">
        <f t="shared" si="69"/>
        <v>12 Jul 2019 20:00</v>
      </c>
      <c r="AI70" t="str">
        <f t="shared" si="69"/>
        <v>12 Jul 2019 20:00</v>
      </c>
      <c r="AJ70" t="str">
        <f t="shared" si="69"/>
        <v>12 Jul 2019 20:00</v>
      </c>
      <c r="AK70" t="str">
        <f t="shared" ref="AK70:AO71" si="70">"25 Jul 2019 00:00"</f>
        <v>25 Jul 2019 00:00</v>
      </c>
      <c r="AL70" t="str">
        <f t="shared" si="70"/>
        <v>25 Jul 2019 00:00</v>
      </c>
      <c r="AM70" t="str">
        <f t="shared" si="70"/>
        <v>25 Jul 2019 00:00</v>
      </c>
      <c r="AN70" t="str">
        <f t="shared" si="70"/>
        <v>25 Jul 2019 00:00</v>
      </c>
      <c r="AO70" t="str">
        <f t="shared" si="70"/>
        <v>25 Jul 2019 00:00</v>
      </c>
      <c r="AP70" t="str">
        <f>""</f>
        <v/>
      </c>
      <c r="AQ70" t="str">
        <f>"12 Jul 2019 01:31"</f>
        <v>12 Jul 2019 01:31</v>
      </c>
      <c r="AR70" t="str">
        <f t="shared" si="56"/>
        <v>Y</v>
      </c>
      <c r="AS70" t="str">
        <f t="shared" si="56"/>
        <v>Y</v>
      </c>
      <c r="AT70" t="str">
        <f t="shared" si="56"/>
        <v>Y</v>
      </c>
      <c r="AU70" t="str">
        <f t="shared" si="60"/>
        <v>N</v>
      </c>
      <c r="AV70" t="str">
        <f t="shared" si="60"/>
        <v>N</v>
      </c>
      <c r="AW70" t="str">
        <f>""</f>
        <v/>
      </c>
      <c r="AX70" t="str">
        <f t="shared" si="65"/>
        <v>No</v>
      </c>
      <c r="AY70" t="str">
        <f>""</f>
        <v/>
      </c>
      <c r="AZ70" t="s">
        <v>12</v>
      </c>
      <c r="BA70" t="s">
        <v>110</v>
      </c>
      <c r="BB70" t="s">
        <v>110</v>
      </c>
    </row>
    <row r="71" spans="1:54">
      <c r="A71" s="7" t="str">
        <f t="shared" si="66"/>
        <v>PHKG9ES090N</v>
      </c>
      <c r="B71" s="8" t="e">
        <f t="shared" si="67"/>
        <v>#VALUE!</v>
      </c>
      <c r="C71" t="str">
        <f t="shared" si="23"/>
        <v>PHKG</v>
      </c>
      <c r="D71" t="str">
        <f>"9ES"</f>
        <v>9ES</v>
      </c>
      <c r="E71" t="str">
        <f>"HUI HONG 818"</f>
        <v>HUI HONG 818</v>
      </c>
      <c r="F71" t="str">
        <f>""</f>
        <v/>
      </c>
      <c r="G71" t="str">
        <f t="shared" si="62"/>
        <v>OOCL</v>
      </c>
      <c r="H71" t="str">
        <f>""</f>
        <v/>
      </c>
      <c r="I71" t="str">
        <f>"090"</f>
        <v>090</v>
      </c>
      <c r="J71" t="str">
        <f>"N"</f>
        <v>N</v>
      </c>
      <c r="K71" t="str">
        <f>"1"</f>
        <v>1</v>
      </c>
      <c r="L71" t="str">
        <f>"HKG02"</f>
        <v>HKG02</v>
      </c>
      <c r="M71" t="str">
        <f>"HIT - Hongkong International Terminals"</f>
        <v>HIT - Hongkong International Terminals</v>
      </c>
      <c r="N71" t="str">
        <f t="shared" si="63"/>
        <v>HKG</v>
      </c>
      <c r="O71" t="str">
        <f t="shared" si="68"/>
        <v>1</v>
      </c>
      <c r="P71" t="str">
        <f>""</f>
        <v/>
      </c>
      <c r="Q71" t="str">
        <f>"089S"</f>
        <v>089S</v>
      </c>
      <c r="R71" t="str">
        <f>"090N"</f>
        <v>090N</v>
      </c>
      <c r="S71" t="str">
        <f>""</f>
        <v/>
      </c>
      <c r="T71" t="str">
        <f>"10 Jul 2019 20:00"</f>
        <v>10 Jul 2019 20:00</v>
      </c>
      <c r="U71" t="str">
        <f>"31 Jul 2019 14:00"</f>
        <v>31 Jul 2019 14:00</v>
      </c>
      <c r="V71" t="str">
        <f>"498h"</f>
        <v>498h</v>
      </c>
      <c r="W71" t="str">
        <f>"10 Jul 2019 20:00"</f>
        <v>10 Jul 2019 20:00</v>
      </c>
      <c r="X71" t="str">
        <f>"11 Jul 2019 23:41"</f>
        <v>11 Jul 2019 23:41</v>
      </c>
      <c r="Y71" t="str">
        <f>"31 Jul 2019 14:00"</f>
        <v>31 Jul 2019 14:00</v>
      </c>
      <c r="Z71" t="str">
        <f>""</f>
        <v/>
      </c>
      <c r="AA71" t="str">
        <f>""</f>
        <v/>
      </c>
      <c r="AB71" t="str">
        <f t="shared" si="64"/>
        <v>NN</v>
      </c>
      <c r="AC71" t="str">
        <f>"AL"</f>
        <v>AL</v>
      </c>
      <c r="AD71" t="str">
        <f>"28"</f>
        <v>28</v>
      </c>
      <c r="AE71" t="str">
        <f t="shared" si="59"/>
        <v>0</v>
      </c>
      <c r="AF71" t="str">
        <f t="shared" si="69"/>
        <v>12 Jul 2019 20:00</v>
      </c>
      <c r="AG71" t="str">
        <f t="shared" si="69"/>
        <v>12 Jul 2019 20:00</v>
      </c>
      <c r="AH71" t="str">
        <f t="shared" si="69"/>
        <v>12 Jul 2019 20:00</v>
      </c>
      <c r="AI71" t="str">
        <f t="shared" si="69"/>
        <v>12 Jul 2019 20:00</v>
      </c>
      <c r="AJ71" t="str">
        <f t="shared" si="69"/>
        <v>12 Jul 2019 20:00</v>
      </c>
      <c r="AK71" t="str">
        <f t="shared" si="70"/>
        <v>25 Jul 2019 00:00</v>
      </c>
      <c r="AL71" t="str">
        <f t="shared" si="70"/>
        <v>25 Jul 2019 00:00</v>
      </c>
      <c r="AM71" t="str">
        <f t="shared" si="70"/>
        <v>25 Jul 2019 00:00</v>
      </c>
      <c r="AN71" t="str">
        <f t="shared" si="70"/>
        <v>25 Jul 2019 00:00</v>
      </c>
      <c r="AO71" t="str">
        <f t="shared" si="70"/>
        <v>25 Jul 2019 00:00</v>
      </c>
      <c r="AP71" t="str">
        <f>""</f>
        <v/>
      </c>
      <c r="AQ71" t="str">
        <f>"12 Jul 2019 01:31"</f>
        <v>12 Jul 2019 01:31</v>
      </c>
      <c r="AR71" t="str">
        <f t="shared" si="56"/>
        <v>Y</v>
      </c>
      <c r="AS71" t="str">
        <f t="shared" si="56"/>
        <v>Y</v>
      </c>
      <c r="AT71" t="str">
        <f t="shared" si="56"/>
        <v>Y</v>
      </c>
      <c r="AU71" t="str">
        <f t="shared" si="60"/>
        <v>N</v>
      </c>
      <c r="AV71" t="str">
        <f t="shared" si="60"/>
        <v>N</v>
      </c>
      <c r="AW71" t="str">
        <f>""</f>
        <v/>
      </c>
      <c r="AX71" t="str">
        <f t="shared" si="65"/>
        <v>No</v>
      </c>
      <c r="AY71" t="str">
        <f>""</f>
        <v/>
      </c>
      <c r="AZ71" t="s">
        <v>12</v>
      </c>
      <c r="BA71" t="s">
        <v>115</v>
      </c>
      <c r="BB71" t="s">
        <v>110</v>
      </c>
    </row>
    <row r="72" spans="1:54">
      <c r="A72" s="7" t="str">
        <f t="shared" si="66"/>
        <v>PHKGRX2518S</v>
      </c>
      <c r="B72" s="8" t="e">
        <f t="shared" si="67"/>
        <v>#VALUE!</v>
      </c>
      <c r="C72" t="str">
        <f t="shared" si="23"/>
        <v>PHKG</v>
      </c>
      <c r="D72" t="str">
        <f>"RX2"</f>
        <v>RX2</v>
      </c>
      <c r="E72" t="str">
        <f>"XING HANG 328"</f>
        <v>XING HANG 328</v>
      </c>
      <c r="F72" t="str">
        <f>""</f>
        <v/>
      </c>
      <c r="G72" t="str">
        <f t="shared" si="62"/>
        <v>OOCL</v>
      </c>
      <c r="H72" t="str">
        <f>""</f>
        <v/>
      </c>
      <c r="I72" t="str">
        <f>"518"</f>
        <v>518</v>
      </c>
      <c r="J72" t="str">
        <f t="shared" ref="J72:J77" si="71">"S"</f>
        <v>S</v>
      </c>
      <c r="K72" t="str">
        <f>"2"</f>
        <v>2</v>
      </c>
      <c r="L72" t="str">
        <f>"HKG02"</f>
        <v>HKG02</v>
      </c>
      <c r="M72" t="str">
        <f>"HIT - Hongkong International Terminals"</f>
        <v>HIT - Hongkong International Terminals</v>
      </c>
      <c r="N72" t="str">
        <f t="shared" si="63"/>
        <v>HKG</v>
      </c>
      <c r="O72" t="str">
        <f t="shared" si="68"/>
        <v>1</v>
      </c>
      <c r="P72" t="str">
        <f>""</f>
        <v/>
      </c>
      <c r="Q72" t="str">
        <f>"518S"</f>
        <v>518S</v>
      </c>
      <c r="R72" t="str">
        <f>"518S"</f>
        <v>518S</v>
      </c>
      <c r="S72" t="str">
        <f>""</f>
        <v/>
      </c>
      <c r="T72" t="str">
        <f>"31 Jul 2019 09:00"</f>
        <v>31 Jul 2019 09:00</v>
      </c>
      <c r="U72" t="str">
        <f>"31 Jul 2019 10:00"</f>
        <v>31 Jul 2019 10:00</v>
      </c>
      <c r="V72" t="str">
        <f>"1h"</f>
        <v>1h</v>
      </c>
      <c r="W72" t="str">
        <f>"31 Jul 2019 12:40"</f>
        <v>31 Jul 2019 12:40</v>
      </c>
      <c r="X72" t="str">
        <f>""</f>
        <v/>
      </c>
      <c r="Y72" t="str">
        <f>"31 Jul 2019 14:40"</f>
        <v>31 Jul 2019 14:40</v>
      </c>
      <c r="Z72" t="str">
        <f>""</f>
        <v/>
      </c>
      <c r="AA72" t="str">
        <f>""</f>
        <v/>
      </c>
      <c r="AB72" t="str">
        <f t="shared" si="64"/>
        <v>NN</v>
      </c>
      <c r="AC72" t="str">
        <f>"CC"</f>
        <v>CC</v>
      </c>
      <c r="AD72" t="str">
        <f>"4"</f>
        <v>4</v>
      </c>
      <c r="AE72" t="str">
        <f>"5"</f>
        <v>5</v>
      </c>
      <c r="AF72" t="str">
        <f>"31 Jul 2019 23:00"</f>
        <v>31 Jul 2019 23:00</v>
      </c>
      <c r="AG72" t="str">
        <f>"31 Jul 2019 23:00"</f>
        <v>31 Jul 2019 23:00</v>
      </c>
      <c r="AH72" t="str">
        <f>"31 Jul 2019 23:00"</f>
        <v>31 Jul 2019 23:00</v>
      </c>
      <c r="AI72" t="str">
        <f>"31 Jul 2019 23:00"</f>
        <v>31 Jul 2019 23:00</v>
      </c>
      <c r="AJ72" t="str">
        <f>"31 Jul 2019 23:00"</f>
        <v>31 Jul 2019 23:00</v>
      </c>
      <c r="AK72" t="str">
        <f>"31 Jul 2019 10:00"</f>
        <v>31 Jul 2019 10:00</v>
      </c>
      <c r="AL72" t="str">
        <f>"31 Jul 2019 10:00"</f>
        <v>31 Jul 2019 10:00</v>
      </c>
      <c r="AM72" t="str">
        <f>"31 Jul 2019 10:00"</f>
        <v>31 Jul 2019 10:00</v>
      </c>
      <c r="AN72" t="str">
        <f>"31 Jul 2019 10:00"</f>
        <v>31 Jul 2019 10:00</v>
      </c>
      <c r="AO72" t="str">
        <f>"31 Jul 2019 10:00"</f>
        <v>31 Jul 2019 10:00</v>
      </c>
      <c r="AP72" t="str">
        <f>""</f>
        <v/>
      </c>
      <c r="AQ72" t="str">
        <f>"31 Jul 2019 23:00"</f>
        <v>31 Jul 2019 23:00</v>
      </c>
      <c r="AR72" t="str">
        <f t="shared" si="56"/>
        <v>Y</v>
      </c>
      <c r="AS72" t="str">
        <f t="shared" si="56"/>
        <v>Y</v>
      </c>
      <c r="AT72" t="str">
        <f t="shared" si="56"/>
        <v>Y</v>
      </c>
      <c r="AU72" t="str">
        <f t="shared" si="60"/>
        <v>N</v>
      </c>
      <c r="AV72" t="str">
        <f t="shared" si="60"/>
        <v>N</v>
      </c>
      <c r="AW72" t="str">
        <f>""</f>
        <v/>
      </c>
      <c r="AX72" t="str">
        <f t="shared" si="65"/>
        <v>No</v>
      </c>
      <c r="AY72" t="str">
        <f>""</f>
        <v/>
      </c>
      <c r="AZ72" t="s">
        <v>12</v>
      </c>
      <c r="BA72" t="s">
        <v>115</v>
      </c>
      <c r="BB72" t="s">
        <v>110</v>
      </c>
    </row>
    <row r="73" spans="1:54">
      <c r="A73" s="7" t="str">
        <f t="shared" si="66"/>
        <v>PHKG8UL136S</v>
      </c>
      <c r="B73" s="8">
        <f t="shared" si="67"/>
        <v>43677.625</v>
      </c>
      <c r="C73" t="str">
        <f t="shared" si="23"/>
        <v>PHKG</v>
      </c>
      <c r="D73" t="str">
        <f>"8UL"</f>
        <v>8UL</v>
      </c>
      <c r="E73" t="str">
        <f>"HUI YUE 007"</f>
        <v>HUI YUE 007</v>
      </c>
      <c r="F73" t="str">
        <f>""</f>
        <v/>
      </c>
      <c r="G73" t="str">
        <f t="shared" si="62"/>
        <v>OOCL</v>
      </c>
      <c r="H73" t="str">
        <f>""</f>
        <v/>
      </c>
      <c r="I73" t="str">
        <f>"136"</f>
        <v>136</v>
      </c>
      <c r="J73" t="str">
        <f t="shared" si="71"/>
        <v>S</v>
      </c>
      <c r="K73" t="str">
        <f>"3"</f>
        <v>3</v>
      </c>
      <c r="L73" t="str">
        <f>"HKG02"</f>
        <v>HKG02</v>
      </c>
      <c r="M73" t="str">
        <f>"HIT - Hongkong International Terminals"</f>
        <v>HIT - Hongkong International Terminals</v>
      </c>
      <c r="N73" t="str">
        <f t="shared" si="63"/>
        <v>HKG</v>
      </c>
      <c r="O73" t="str">
        <f t="shared" si="68"/>
        <v>1</v>
      </c>
      <c r="P73" t="str">
        <f>""</f>
        <v/>
      </c>
      <c r="Q73" t="str">
        <f>"136S"</f>
        <v>136S</v>
      </c>
      <c r="R73" t="str">
        <f>"136S"</f>
        <v>136S</v>
      </c>
      <c r="S73" t="str">
        <f>""</f>
        <v/>
      </c>
      <c r="T73" t="str">
        <f>"31 Jul 2019 15:00"</f>
        <v>31 Jul 2019 15:00</v>
      </c>
      <c r="U73" t="str">
        <f>"31 Jul 2019 16:00"</f>
        <v>31 Jul 2019 16:00</v>
      </c>
      <c r="V73" t="str">
        <f>"1h"</f>
        <v>1h</v>
      </c>
      <c r="W73" t="str">
        <f>"31 Jul 2019 15:00"</f>
        <v>31 Jul 2019 15:00</v>
      </c>
      <c r="X73" t="str">
        <f>""</f>
        <v/>
      </c>
      <c r="Y73" t="str">
        <f>"31 Jul 2019 16:00"</f>
        <v>31 Jul 2019 16:00</v>
      </c>
      <c r="Z73" t="str">
        <f>""</f>
        <v/>
      </c>
      <c r="AA73" t="str">
        <f>""</f>
        <v/>
      </c>
      <c r="AB73" t="str">
        <f t="shared" si="64"/>
        <v>NN</v>
      </c>
      <c r="AC73" t="str">
        <f>"LL"</f>
        <v>LL</v>
      </c>
      <c r="AD73" t="str">
        <f t="shared" ref="AD73:AE88" si="72">"0"</f>
        <v>0</v>
      </c>
      <c r="AE73" t="str">
        <f t="shared" si="72"/>
        <v>0</v>
      </c>
      <c r="AF73" t="str">
        <f t="shared" ref="AF73:AQ73" si="73">"31 Jul 2019 15:00"</f>
        <v>31 Jul 2019 15:00</v>
      </c>
      <c r="AG73" t="str">
        <f t="shared" si="73"/>
        <v>31 Jul 2019 15:00</v>
      </c>
      <c r="AH73" t="str">
        <f t="shared" si="73"/>
        <v>31 Jul 2019 15:00</v>
      </c>
      <c r="AI73" t="str">
        <f t="shared" si="73"/>
        <v>31 Jul 2019 15:00</v>
      </c>
      <c r="AJ73" t="str">
        <f t="shared" si="73"/>
        <v>31 Jul 2019 15:00</v>
      </c>
      <c r="AK73" t="str">
        <f t="shared" si="73"/>
        <v>31 Jul 2019 15:00</v>
      </c>
      <c r="AL73" t="str">
        <f t="shared" si="73"/>
        <v>31 Jul 2019 15:00</v>
      </c>
      <c r="AM73" t="str">
        <f t="shared" si="73"/>
        <v>31 Jul 2019 15:00</v>
      </c>
      <c r="AN73" t="str">
        <f t="shared" si="73"/>
        <v>31 Jul 2019 15:00</v>
      </c>
      <c r="AO73" t="str">
        <f t="shared" si="73"/>
        <v>31 Jul 2019 15:00</v>
      </c>
      <c r="AP73" t="str">
        <f t="shared" si="73"/>
        <v>31 Jul 2019 15:00</v>
      </c>
      <c r="AQ73" t="str">
        <f t="shared" si="73"/>
        <v>31 Jul 2019 15:00</v>
      </c>
      <c r="AR73" t="str">
        <f t="shared" si="56"/>
        <v>Y</v>
      </c>
      <c r="AS73" t="str">
        <f t="shared" si="56"/>
        <v>Y</v>
      </c>
      <c r="AT73" t="str">
        <f t="shared" si="56"/>
        <v>Y</v>
      </c>
      <c r="AU73" t="str">
        <f t="shared" si="60"/>
        <v>N</v>
      </c>
      <c r="AV73" t="str">
        <f t="shared" si="60"/>
        <v>N</v>
      </c>
      <c r="AW73" t="str">
        <f>""</f>
        <v/>
      </c>
      <c r="AX73" t="str">
        <f t="shared" si="65"/>
        <v>No</v>
      </c>
      <c r="AY73" t="str">
        <f>""</f>
        <v/>
      </c>
      <c r="AZ73" t="s">
        <v>12</v>
      </c>
      <c r="BA73" t="s">
        <v>110</v>
      </c>
      <c r="BB73" t="s">
        <v>110</v>
      </c>
    </row>
    <row r="74" spans="1:54">
      <c r="A74" s="7" t="str">
        <f t="shared" si="66"/>
        <v>PHKGUW8540S</v>
      </c>
      <c r="B74" s="8" t="e">
        <f t="shared" si="67"/>
        <v>#VALUE!</v>
      </c>
      <c r="C74" t="str">
        <f t="shared" si="23"/>
        <v>PHKG</v>
      </c>
      <c r="D74" t="str">
        <f>"UW8"</f>
        <v>UW8</v>
      </c>
      <c r="E74" t="str">
        <f>"SUI HAI YUN 628"</f>
        <v>SUI HAI YUN 628</v>
      </c>
      <c r="F74" t="str">
        <f>""</f>
        <v/>
      </c>
      <c r="G74" t="str">
        <f t="shared" si="62"/>
        <v>OOCL</v>
      </c>
      <c r="H74" t="str">
        <f>""</f>
        <v/>
      </c>
      <c r="I74" t="str">
        <f>"540"</f>
        <v>540</v>
      </c>
      <c r="J74" t="str">
        <f t="shared" si="71"/>
        <v>S</v>
      </c>
      <c r="K74" t="str">
        <f>"2"</f>
        <v>2</v>
      </c>
      <c r="L74" t="str">
        <f>"HKG01"</f>
        <v>HKG01</v>
      </c>
      <c r="M74" t="str">
        <f>"Modern Terminal Limited (MTL)"</f>
        <v>Modern Terminal Limited (MTL)</v>
      </c>
      <c r="N74" t="str">
        <f t="shared" si="63"/>
        <v>HKG</v>
      </c>
      <c r="O74" t="str">
        <f t="shared" si="68"/>
        <v>1</v>
      </c>
      <c r="P74" t="str">
        <f>""</f>
        <v/>
      </c>
      <c r="Q74" t="str">
        <f>"540S"</f>
        <v>540S</v>
      </c>
      <c r="R74" t="str">
        <f>"540S"</f>
        <v>540S</v>
      </c>
      <c r="S74" t="str">
        <f>""</f>
        <v/>
      </c>
      <c r="T74" t="str">
        <f>"31 Jul 2019 17:00"</f>
        <v>31 Jul 2019 17:00</v>
      </c>
      <c r="U74" t="str">
        <f>"31 Jul 2019 18:00"</f>
        <v>31 Jul 2019 18:00</v>
      </c>
      <c r="V74" t="str">
        <f>"1h"</f>
        <v>1h</v>
      </c>
      <c r="W74" t="str">
        <f>"31 Jul 2019 17:00"</f>
        <v>31 Jul 2019 17:00</v>
      </c>
      <c r="X74" t="str">
        <f>""</f>
        <v/>
      </c>
      <c r="Y74" t="str">
        <f>"31 Jul 2019 18:00"</f>
        <v>31 Jul 2019 18:00</v>
      </c>
      <c r="Z74" t="str">
        <f>""</f>
        <v/>
      </c>
      <c r="AA74" t="str">
        <f>""</f>
        <v/>
      </c>
      <c r="AB74" t="str">
        <f t="shared" si="64"/>
        <v>NN</v>
      </c>
      <c r="AC74" t="str">
        <f>"LL"</f>
        <v>LL</v>
      </c>
      <c r="AD74" t="str">
        <f t="shared" si="72"/>
        <v>0</v>
      </c>
      <c r="AE74" t="str">
        <f t="shared" si="72"/>
        <v>0</v>
      </c>
      <c r="AF74" t="str">
        <f>"31 Jul 2019 18:00"</f>
        <v>31 Jul 2019 18:00</v>
      </c>
      <c r="AG74" t="str">
        <f>"31 Jul 2019 18:00"</f>
        <v>31 Jul 2019 18:00</v>
      </c>
      <c r="AH74" t="str">
        <f>"31 Jul 2019 18:00"</f>
        <v>31 Jul 2019 18:00</v>
      </c>
      <c r="AI74" t="str">
        <f>"31 Jul 2019 18:00"</f>
        <v>31 Jul 2019 18:00</v>
      </c>
      <c r="AJ74" t="str">
        <f>"31 Jul 2019 18:00"</f>
        <v>31 Jul 2019 18:00</v>
      </c>
      <c r="AK74" t="str">
        <f>"31 Jul 2019 17:00"</f>
        <v>31 Jul 2019 17:00</v>
      </c>
      <c r="AL74" t="str">
        <f>"31 Jul 2019 17:00"</f>
        <v>31 Jul 2019 17:00</v>
      </c>
      <c r="AM74" t="str">
        <f>"31 Jul 2019 17:00"</f>
        <v>31 Jul 2019 17:00</v>
      </c>
      <c r="AN74" t="str">
        <f>"31 Jul 2019 17:00"</f>
        <v>31 Jul 2019 17:00</v>
      </c>
      <c r="AO74" t="str">
        <f>"31 Jul 2019 17:00"</f>
        <v>31 Jul 2019 17:00</v>
      </c>
      <c r="AP74" t="str">
        <f>""</f>
        <v/>
      </c>
      <c r="AQ74" t="str">
        <f>"31 Jul 2019 18:00"</f>
        <v>31 Jul 2019 18:00</v>
      </c>
      <c r="AR74" t="str">
        <f t="shared" si="56"/>
        <v>Y</v>
      </c>
      <c r="AS74" t="str">
        <f t="shared" si="56"/>
        <v>Y</v>
      </c>
      <c r="AT74" t="str">
        <f t="shared" si="56"/>
        <v>Y</v>
      </c>
      <c r="AU74" t="str">
        <f t="shared" si="60"/>
        <v>N</v>
      </c>
      <c r="AV74" t="str">
        <f t="shared" si="60"/>
        <v>N</v>
      </c>
      <c r="AW74" t="str">
        <f>""</f>
        <v/>
      </c>
      <c r="AX74" t="str">
        <f t="shared" si="65"/>
        <v>No</v>
      </c>
      <c r="AY74" t="str">
        <f>""</f>
        <v/>
      </c>
      <c r="AZ74" t="s">
        <v>12</v>
      </c>
      <c r="BA74" t="s">
        <v>110</v>
      </c>
      <c r="BB74" t="s">
        <v>110</v>
      </c>
    </row>
    <row r="75" spans="1:54">
      <c r="A75" s="7" t="str">
        <f t="shared" si="66"/>
        <v>PHKGUW8540S</v>
      </c>
      <c r="B75" s="8" t="e">
        <f t="shared" si="67"/>
        <v>#VALUE!</v>
      </c>
      <c r="C75" t="str">
        <f t="shared" si="23"/>
        <v>PHKG</v>
      </c>
      <c r="D75" t="str">
        <f>"UW8"</f>
        <v>UW8</v>
      </c>
      <c r="E75" t="str">
        <f>"SUI HAI YUN 628"</f>
        <v>SUI HAI YUN 628</v>
      </c>
      <c r="F75" t="str">
        <f>""</f>
        <v/>
      </c>
      <c r="G75" t="str">
        <f t="shared" si="62"/>
        <v>OOCL</v>
      </c>
      <c r="H75" t="str">
        <f>""</f>
        <v/>
      </c>
      <c r="I75" t="str">
        <f>"540"</f>
        <v>540</v>
      </c>
      <c r="J75" t="str">
        <f t="shared" si="71"/>
        <v>S</v>
      </c>
      <c r="K75" t="str">
        <f>"3"</f>
        <v>3</v>
      </c>
      <c r="L75" t="str">
        <f>"HKG02"</f>
        <v>HKG02</v>
      </c>
      <c r="M75" t="str">
        <f>"HIT - Hongkong International Terminals"</f>
        <v>HIT - Hongkong International Terminals</v>
      </c>
      <c r="N75" t="str">
        <f t="shared" si="63"/>
        <v>HKG</v>
      </c>
      <c r="O75" t="str">
        <f>"2"</f>
        <v>2</v>
      </c>
      <c r="P75" t="str">
        <f>""</f>
        <v/>
      </c>
      <c r="Q75" t="str">
        <f>"540S"</f>
        <v>540S</v>
      </c>
      <c r="R75" t="str">
        <f>"540S"</f>
        <v>540S</v>
      </c>
      <c r="S75" t="str">
        <f>""</f>
        <v/>
      </c>
      <c r="T75" t="str">
        <f>"01 Aug 2019 01:00"</f>
        <v>01 Aug 2019 01:00</v>
      </c>
      <c r="U75" t="str">
        <f>"01 Aug 2019 02:00"</f>
        <v>01 Aug 2019 02:00</v>
      </c>
      <c r="V75" t="str">
        <f>"1h"</f>
        <v>1h</v>
      </c>
      <c r="W75" t="str">
        <f>"01 Aug 2019 01:00"</f>
        <v>01 Aug 2019 01:00</v>
      </c>
      <c r="X75" t="str">
        <f>""</f>
        <v/>
      </c>
      <c r="Y75" t="str">
        <f>"01 Aug 2019 02:00"</f>
        <v>01 Aug 2019 02:00</v>
      </c>
      <c r="Z75" t="str">
        <f>""</f>
        <v/>
      </c>
      <c r="AA75" t="str">
        <f>""</f>
        <v/>
      </c>
      <c r="AB75" t="str">
        <f t="shared" si="64"/>
        <v>NN</v>
      </c>
      <c r="AC75" t="str">
        <f>"LL"</f>
        <v>LL</v>
      </c>
      <c r="AD75" t="str">
        <f t="shared" si="72"/>
        <v>0</v>
      </c>
      <c r="AE75" t="str">
        <f t="shared" si="72"/>
        <v>0</v>
      </c>
      <c r="AF75" t="str">
        <f>"01 Aug 2019 02:00"</f>
        <v>01 Aug 2019 02:00</v>
      </c>
      <c r="AG75" t="str">
        <f>"01 Aug 2019 02:00"</f>
        <v>01 Aug 2019 02:00</v>
      </c>
      <c r="AH75" t="str">
        <f>"01 Aug 2019 02:00"</f>
        <v>01 Aug 2019 02:00</v>
      </c>
      <c r="AI75" t="str">
        <f>"01 Aug 2019 02:00"</f>
        <v>01 Aug 2019 02:00</v>
      </c>
      <c r="AJ75" t="str">
        <f>"01 Aug 2019 02:00"</f>
        <v>01 Aug 2019 02:00</v>
      </c>
      <c r="AK75" t="str">
        <f>"01 Aug 2019 01:00"</f>
        <v>01 Aug 2019 01:00</v>
      </c>
      <c r="AL75" t="str">
        <f>"01 Aug 2019 01:00"</f>
        <v>01 Aug 2019 01:00</v>
      </c>
      <c r="AM75" t="str">
        <f>"01 Aug 2019 01:00"</f>
        <v>01 Aug 2019 01:00</v>
      </c>
      <c r="AN75" t="str">
        <f>"01 Aug 2019 01:00"</f>
        <v>01 Aug 2019 01:00</v>
      </c>
      <c r="AO75" t="str">
        <f>"01 Aug 2019 01:00"</f>
        <v>01 Aug 2019 01:00</v>
      </c>
      <c r="AP75" t="str">
        <f>""</f>
        <v/>
      </c>
      <c r="AQ75" t="str">
        <f>"01 Aug 2019 02:00"</f>
        <v>01 Aug 2019 02:00</v>
      </c>
      <c r="AR75" t="str">
        <f t="shared" si="56"/>
        <v>Y</v>
      </c>
      <c r="AS75" t="str">
        <f t="shared" si="56"/>
        <v>Y</v>
      </c>
      <c r="AT75" t="str">
        <f t="shared" si="56"/>
        <v>Y</v>
      </c>
      <c r="AU75" t="str">
        <f t="shared" si="60"/>
        <v>N</v>
      </c>
      <c r="AV75" t="str">
        <f t="shared" si="60"/>
        <v>N</v>
      </c>
      <c r="AW75" t="str">
        <f>""</f>
        <v/>
      </c>
      <c r="AX75" t="str">
        <f t="shared" si="65"/>
        <v>No</v>
      </c>
      <c r="AY75" t="str">
        <f>""</f>
        <v/>
      </c>
      <c r="AZ75" t="s">
        <v>12</v>
      </c>
      <c r="BA75" t="s">
        <v>110</v>
      </c>
      <c r="BB75" t="s">
        <v>110</v>
      </c>
    </row>
    <row r="76" spans="1:54">
      <c r="A76" s="7" t="str">
        <f t="shared" si="66"/>
        <v>PHKGWH1835S</v>
      </c>
      <c r="B76" s="8" t="e">
        <f t="shared" si="67"/>
        <v>#VALUE!</v>
      </c>
      <c r="C76" t="str">
        <f t="shared" si="23"/>
        <v>PHKG</v>
      </c>
      <c r="D76" t="str">
        <f>"WH1"</f>
        <v>WH1</v>
      </c>
      <c r="E76" t="str">
        <f>"RONG JING 618"</f>
        <v>RONG JING 618</v>
      </c>
      <c r="F76" t="str">
        <f>""</f>
        <v/>
      </c>
      <c r="G76" t="str">
        <f t="shared" si="62"/>
        <v>OOCL</v>
      </c>
      <c r="H76" t="str">
        <f>""</f>
        <v/>
      </c>
      <c r="I76" t="str">
        <f>"835"</f>
        <v>835</v>
      </c>
      <c r="J76" t="str">
        <f t="shared" si="71"/>
        <v>S</v>
      </c>
      <c r="K76" t="str">
        <f>"2"</f>
        <v>2</v>
      </c>
      <c r="L76" t="str">
        <f>"HKG02"</f>
        <v>HKG02</v>
      </c>
      <c r="M76" t="str">
        <f>"HIT - Hongkong International Terminals"</f>
        <v>HIT - Hongkong International Terminals</v>
      </c>
      <c r="N76" t="str">
        <f t="shared" si="63"/>
        <v>HKG</v>
      </c>
      <c r="O76" t="str">
        <f t="shared" ref="O76:O82" si="74">"1"</f>
        <v>1</v>
      </c>
      <c r="P76" t="str">
        <f>""</f>
        <v/>
      </c>
      <c r="Q76" t="str">
        <f>"835S"</f>
        <v>835S</v>
      </c>
      <c r="R76" t="str">
        <f>"835S"</f>
        <v>835S</v>
      </c>
      <c r="S76" t="str">
        <f>""</f>
        <v/>
      </c>
      <c r="T76" t="str">
        <f>"31 Jul 2019 17:00"</f>
        <v>31 Jul 2019 17:00</v>
      </c>
      <c r="U76" t="str">
        <f>"31 Jul 2019 18:00"</f>
        <v>31 Jul 2019 18:00</v>
      </c>
      <c r="V76" t="str">
        <f>"1h"</f>
        <v>1h</v>
      </c>
      <c r="W76" t="str">
        <f>"31 Jul 2019 17:00"</f>
        <v>31 Jul 2019 17:00</v>
      </c>
      <c r="X76" t="str">
        <f>""</f>
        <v/>
      </c>
      <c r="Y76" t="str">
        <f>"31 Jul 2019 18:00"</f>
        <v>31 Jul 2019 18:00</v>
      </c>
      <c r="Z76" t="str">
        <f>""</f>
        <v/>
      </c>
      <c r="AA76" t="str">
        <f>""</f>
        <v/>
      </c>
      <c r="AB76" t="str">
        <f t="shared" si="64"/>
        <v>NN</v>
      </c>
      <c r="AC76" t="str">
        <f>"LL"</f>
        <v>LL</v>
      </c>
      <c r="AD76" t="str">
        <f t="shared" si="72"/>
        <v>0</v>
      </c>
      <c r="AE76" t="str">
        <f t="shared" si="72"/>
        <v>0</v>
      </c>
      <c r="AF76" t="str">
        <f>"31 Jul 2019 18:00"</f>
        <v>31 Jul 2019 18:00</v>
      </c>
      <c r="AG76" t="str">
        <f>"31 Jul 2019 18:00"</f>
        <v>31 Jul 2019 18:00</v>
      </c>
      <c r="AH76" t="str">
        <f>"31 Jul 2019 18:00"</f>
        <v>31 Jul 2019 18:00</v>
      </c>
      <c r="AI76" t="str">
        <f>"31 Jul 2019 18:00"</f>
        <v>31 Jul 2019 18:00</v>
      </c>
      <c r="AJ76" t="str">
        <f>"31 Jul 2019 18:00"</f>
        <v>31 Jul 2019 18:00</v>
      </c>
      <c r="AK76" t="str">
        <f>"31 Jul 2019 17:00"</f>
        <v>31 Jul 2019 17:00</v>
      </c>
      <c r="AL76" t="str">
        <f>"31 Jul 2019 17:00"</f>
        <v>31 Jul 2019 17:00</v>
      </c>
      <c r="AM76" t="str">
        <f>"31 Jul 2019 17:00"</f>
        <v>31 Jul 2019 17:00</v>
      </c>
      <c r="AN76" t="str">
        <f>"31 Jul 2019 17:00"</f>
        <v>31 Jul 2019 17:00</v>
      </c>
      <c r="AO76" t="str">
        <f>"31 Jul 2019 17:00"</f>
        <v>31 Jul 2019 17:00</v>
      </c>
      <c r="AP76" t="str">
        <f>""</f>
        <v/>
      </c>
      <c r="AQ76" t="str">
        <f>"31 Jul 2019 18:00"</f>
        <v>31 Jul 2019 18:00</v>
      </c>
      <c r="AR76" t="str">
        <f t="shared" si="56"/>
        <v>Y</v>
      </c>
      <c r="AS76" t="str">
        <f t="shared" si="56"/>
        <v>Y</v>
      </c>
      <c r="AT76" t="str">
        <f t="shared" si="56"/>
        <v>Y</v>
      </c>
      <c r="AU76" t="str">
        <f t="shared" si="60"/>
        <v>N</v>
      </c>
      <c r="AV76" t="str">
        <f t="shared" si="60"/>
        <v>N</v>
      </c>
      <c r="AW76" t="str">
        <f>""</f>
        <v/>
      </c>
      <c r="AX76" t="str">
        <f t="shared" si="65"/>
        <v>No</v>
      </c>
      <c r="AY76" t="str">
        <f>""</f>
        <v/>
      </c>
      <c r="AZ76" t="s">
        <v>12</v>
      </c>
      <c r="BA76" t="s">
        <v>110</v>
      </c>
      <c r="BB76" t="s">
        <v>110</v>
      </c>
    </row>
    <row r="77" spans="1:54">
      <c r="A77" s="7" t="str">
        <f t="shared" si="66"/>
        <v>PHKG3ST279N</v>
      </c>
      <c r="B77" s="8">
        <f t="shared" si="67"/>
        <v>43677.791666666664</v>
      </c>
      <c r="C77" t="str">
        <f t="shared" si="23"/>
        <v>PHKG</v>
      </c>
      <c r="D77" t="str">
        <f>"3ST"</f>
        <v>3ST</v>
      </c>
      <c r="E77" t="str">
        <f>"JIAN GONG 228"</f>
        <v>JIAN GONG 228</v>
      </c>
      <c r="F77" t="str">
        <f>""</f>
        <v/>
      </c>
      <c r="G77" t="str">
        <f t="shared" si="62"/>
        <v>OOCL</v>
      </c>
      <c r="H77" t="str">
        <f>""</f>
        <v/>
      </c>
      <c r="I77" t="str">
        <f>"278"</f>
        <v>278</v>
      </c>
      <c r="J77" t="str">
        <f t="shared" si="71"/>
        <v>S</v>
      </c>
      <c r="K77" t="str">
        <f>"2"</f>
        <v>2</v>
      </c>
      <c r="L77" t="str">
        <f>"HKG02"</f>
        <v>HKG02</v>
      </c>
      <c r="M77" t="str">
        <f>"HIT - Hongkong International Terminals"</f>
        <v>HIT - Hongkong International Terminals</v>
      </c>
      <c r="N77" t="str">
        <f t="shared" si="63"/>
        <v>HKG</v>
      </c>
      <c r="O77" t="str">
        <f t="shared" si="74"/>
        <v>1</v>
      </c>
      <c r="P77" t="str">
        <f>""</f>
        <v/>
      </c>
      <c r="Q77" t="str">
        <f>"278S"</f>
        <v>278S</v>
      </c>
      <c r="R77" t="str">
        <f>"279N"</f>
        <v>279N</v>
      </c>
      <c r="S77" t="str">
        <f>""</f>
        <v/>
      </c>
      <c r="T77" t="str">
        <f>"30 Jul 2019 06:00"</f>
        <v>30 Jul 2019 06:00</v>
      </c>
      <c r="U77" t="str">
        <f>"31 Jul 2019 20:00"</f>
        <v>31 Jul 2019 20:00</v>
      </c>
      <c r="V77" t="str">
        <f>"38h"</f>
        <v>38h</v>
      </c>
      <c r="W77" t="str">
        <f>"30 Jul 2019 06:00"</f>
        <v>30 Jul 2019 06:00</v>
      </c>
      <c r="X77" t="str">
        <f>"31 Jul 2019 02:39"</f>
        <v>31 Jul 2019 02:39</v>
      </c>
      <c r="Y77" t="str">
        <f>"31 Jul 2019 20:00"</f>
        <v>31 Jul 2019 20:00</v>
      </c>
      <c r="Z77" t="str">
        <f>""</f>
        <v/>
      </c>
      <c r="AA77" t="str">
        <f>""</f>
        <v/>
      </c>
      <c r="AB77" t="str">
        <f t="shared" si="64"/>
        <v>NN</v>
      </c>
      <c r="AC77" t="str">
        <f>"AL"</f>
        <v>AL</v>
      </c>
      <c r="AD77" t="str">
        <f>"21"</f>
        <v>21</v>
      </c>
      <c r="AE77" t="str">
        <f t="shared" si="72"/>
        <v>0</v>
      </c>
      <c r="AF77" t="str">
        <f t="shared" ref="AF77:AJ78" si="75">"01 Aug 2019 06:00"</f>
        <v>01 Aug 2019 06:00</v>
      </c>
      <c r="AG77" t="str">
        <f t="shared" si="75"/>
        <v>01 Aug 2019 06:00</v>
      </c>
      <c r="AH77" t="str">
        <f t="shared" si="75"/>
        <v>01 Aug 2019 06:00</v>
      </c>
      <c r="AI77" t="str">
        <f t="shared" si="75"/>
        <v>01 Aug 2019 06:00</v>
      </c>
      <c r="AJ77" t="str">
        <f t="shared" si="75"/>
        <v>01 Aug 2019 06:00</v>
      </c>
      <c r="AK77" t="str">
        <f t="shared" ref="AK77:AP79" si="76">"31 Jul 2019 19:00"</f>
        <v>31 Jul 2019 19:00</v>
      </c>
      <c r="AL77" t="str">
        <f t="shared" si="76"/>
        <v>31 Jul 2019 19:00</v>
      </c>
      <c r="AM77" t="str">
        <f t="shared" si="76"/>
        <v>31 Jul 2019 19:00</v>
      </c>
      <c r="AN77" t="str">
        <f t="shared" si="76"/>
        <v>31 Jul 2019 19:00</v>
      </c>
      <c r="AO77" t="str">
        <f t="shared" si="76"/>
        <v>31 Jul 2019 19:00</v>
      </c>
      <c r="AP77" t="str">
        <f t="shared" si="76"/>
        <v>31 Jul 2019 19:00</v>
      </c>
      <c r="AQ77" t="str">
        <f>"31 Jul 2019 20:00"</f>
        <v>31 Jul 2019 20:00</v>
      </c>
      <c r="AR77" t="str">
        <f t="shared" si="56"/>
        <v>Y</v>
      </c>
      <c r="AS77" t="str">
        <f t="shared" si="56"/>
        <v>Y</v>
      </c>
      <c r="AT77" t="str">
        <f t="shared" si="56"/>
        <v>Y</v>
      </c>
      <c r="AU77" t="str">
        <f t="shared" si="60"/>
        <v>N</v>
      </c>
      <c r="AV77" t="str">
        <f t="shared" si="60"/>
        <v>N</v>
      </c>
      <c r="AW77" t="str">
        <f>""</f>
        <v/>
      </c>
      <c r="AX77" t="str">
        <f t="shared" si="65"/>
        <v>No</v>
      </c>
      <c r="AY77" t="str">
        <f>""</f>
        <v/>
      </c>
      <c r="AZ77" t="s">
        <v>12</v>
      </c>
      <c r="BA77" t="s">
        <v>110</v>
      </c>
      <c r="BB77" t="s">
        <v>125</v>
      </c>
    </row>
    <row r="78" spans="1:54">
      <c r="A78" s="7" t="str">
        <f t="shared" si="66"/>
        <v>PHKG3ST279N</v>
      </c>
      <c r="B78" s="8">
        <f t="shared" si="67"/>
        <v>43677.791666666664</v>
      </c>
      <c r="C78" t="str">
        <f t="shared" si="23"/>
        <v>PHKG</v>
      </c>
      <c r="D78" t="str">
        <f>"3ST"</f>
        <v>3ST</v>
      </c>
      <c r="E78" t="str">
        <f>"JIAN GONG 228"</f>
        <v>JIAN GONG 228</v>
      </c>
      <c r="F78" t="str">
        <f>""</f>
        <v/>
      </c>
      <c r="G78" t="str">
        <f t="shared" si="62"/>
        <v>OOCL</v>
      </c>
      <c r="H78" t="str">
        <f>""</f>
        <v/>
      </c>
      <c r="I78" t="str">
        <f>"279"</f>
        <v>279</v>
      </c>
      <c r="J78" t="str">
        <f>"N"</f>
        <v>N</v>
      </c>
      <c r="K78" t="str">
        <f>"1"</f>
        <v>1</v>
      </c>
      <c r="L78" t="str">
        <f>"HKG02"</f>
        <v>HKG02</v>
      </c>
      <c r="M78" t="str">
        <f>"HIT - Hongkong International Terminals"</f>
        <v>HIT - Hongkong International Terminals</v>
      </c>
      <c r="N78" t="str">
        <f t="shared" si="63"/>
        <v>HKG</v>
      </c>
      <c r="O78" t="str">
        <f t="shared" si="74"/>
        <v>1</v>
      </c>
      <c r="P78" t="str">
        <f>""</f>
        <v/>
      </c>
      <c r="Q78" t="str">
        <f>"278S"</f>
        <v>278S</v>
      </c>
      <c r="R78" t="str">
        <f>"279N"</f>
        <v>279N</v>
      </c>
      <c r="S78" t="str">
        <f>""</f>
        <v/>
      </c>
      <c r="T78" t="str">
        <f>"30 Jul 2019 06:00"</f>
        <v>30 Jul 2019 06:00</v>
      </c>
      <c r="U78" t="str">
        <f>"31 Jul 2019 20:00"</f>
        <v>31 Jul 2019 20:00</v>
      </c>
      <c r="V78" t="str">
        <f>"38h"</f>
        <v>38h</v>
      </c>
      <c r="W78" t="str">
        <f>"30 Jul 2019 06:00"</f>
        <v>30 Jul 2019 06:00</v>
      </c>
      <c r="X78" t="str">
        <f>"31 Jul 2019 02:39"</f>
        <v>31 Jul 2019 02:39</v>
      </c>
      <c r="Y78" t="str">
        <f>"31 Jul 2019 20:00"</f>
        <v>31 Jul 2019 20:00</v>
      </c>
      <c r="Z78" t="str">
        <f>""</f>
        <v/>
      </c>
      <c r="AA78" t="str">
        <f>""</f>
        <v/>
      </c>
      <c r="AB78" t="str">
        <f t="shared" si="64"/>
        <v>NN</v>
      </c>
      <c r="AC78" t="str">
        <f>"AL"</f>
        <v>AL</v>
      </c>
      <c r="AD78" t="str">
        <f>"21"</f>
        <v>21</v>
      </c>
      <c r="AE78" t="str">
        <f t="shared" si="72"/>
        <v>0</v>
      </c>
      <c r="AF78" t="str">
        <f t="shared" si="75"/>
        <v>01 Aug 2019 06:00</v>
      </c>
      <c r="AG78" t="str">
        <f t="shared" si="75"/>
        <v>01 Aug 2019 06:00</v>
      </c>
      <c r="AH78" t="str">
        <f t="shared" si="75"/>
        <v>01 Aug 2019 06:00</v>
      </c>
      <c r="AI78" t="str">
        <f t="shared" si="75"/>
        <v>01 Aug 2019 06:00</v>
      </c>
      <c r="AJ78" t="str">
        <f t="shared" si="75"/>
        <v>01 Aug 2019 06:00</v>
      </c>
      <c r="AK78" t="str">
        <f t="shared" si="76"/>
        <v>31 Jul 2019 19:00</v>
      </c>
      <c r="AL78" t="str">
        <f t="shared" si="76"/>
        <v>31 Jul 2019 19:00</v>
      </c>
      <c r="AM78" t="str">
        <f t="shared" si="76"/>
        <v>31 Jul 2019 19:00</v>
      </c>
      <c r="AN78" t="str">
        <f t="shared" si="76"/>
        <v>31 Jul 2019 19:00</v>
      </c>
      <c r="AO78" t="str">
        <f t="shared" si="76"/>
        <v>31 Jul 2019 19:00</v>
      </c>
      <c r="AP78" t="str">
        <f t="shared" si="76"/>
        <v>31 Jul 2019 19:00</v>
      </c>
      <c r="AQ78" t="str">
        <f>"31 Jul 2019 20:00"</f>
        <v>31 Jul 2019 20:00</v>
      </c>
      <c r="AR78" t="str">
        <f t="shared" ref="AR78:AT97" si="77">"Y"</f>
        <v>Y</v>
      </c>
      <c r="AS78" t="str">
        <f t="shared" si="77"/>
        <v>Y</v>
      </c>
      <c r="AT78" t="str">
        <f t="shared" si="77"/>
        <v>Y</v>
      </c>
      <c r="AU78" t="str">
        <f t="shared" si="60"/>
        <v>N</v>
      </c>
      <c r="AV78" t="str">
        <f t="shared" si="60"/>
        <v>N</v>
      </c>
      <c r="AW78" t="str">
        <f>""</f>
        <v/>
      </c>
      <c r="AX78" t="str">
        <f t="shared" si="65"/>
        <v>No</v>
      </c>
      <c r="AY78" t="str">
        <f>""</f>
        <v/>
      </c>
      <c r="AZ78" t="s">
        <v>12</v>
      </c>
      <c r="BA78" t="s">
        <v>115</v>
      </c>
      <c r="BB78" t="s">
        <v>110</v>
      </c>
    </row>
    <row r="79" spans="1:54">
      <c r="A79" s="7" t="str">
        <f t="shared" si="66"/>
        <v>PHKG6WX026N</v>
      </c>
      <c r="B79" s="8">
        <f t="shared" si="67"/>
        <v>43677.791666666664</v>
      </c>
      <c r="C79" t="str">
        <f t="shared" si="23"/>
        <v>PHKG</v>
      </c>
      <c r="D79" t="str">
        <f>"6WX"</f>
        <v>6WX</v>
      </c>
      <c r="E79" t="str">
        <f>"JIN HUI 128"</f>
        <v>JIN HUI 128</v>
      </c>
      <c r="F79" t="str">
        <f>"SNW"</f>
        <v>SNW</v>
      </c>
      <c r="G79" t="str">
        <f t="shared" si="62"/>
        <v>OOCL</v>
      </c>
      <c r="H79" t="str">
        <f>""</f>
        <v/>
      </c>
      <c r="I79" t="str">
        <f>"026"</f>
        <v>026</v>
      </c>
      <c r="J79" t="str">
        <f>"N"</f>
        <v>N</v>
      </c>
      <c r="K79" t="str">
        <f>"1"</f>
        <v>1</v>
      </c>
      <c r="L79" t="str">
        <f>"HKG02"</f>
        <v>HKG02</v>
      </c>
      <c r="M79" t="str">
        <f>"HIT - Hongkong International Terminals"</f>
        <v>HIT - Hongkong International Terminals</v>
      </c>
      <c r="N79" t="str">
        <f t="shared" si="63"/>
        <v>HKG</v>
      </c>
      <c r="O79" t="str">
        <f t="shared" si="74"/>
        <v>1</v>
      </c>
      <c r="P79" t="str">
        <f>"CN20099049"</f>
        <v>CN20099049</v>
      </c>
      <c r="Q79" t="str">
        <f>"026N"</f>
        <v>026N</v>
      </c>
      <c r="R79" t="str">
        <f>"026N"</f>
        <v>026N</v>
      </c>
      <c r="S79" t="str">
        <f>""</f>
        <v/>
      </c>
      <c r="T79" t="str">
        <f>"31 Jul 2019 19:00"</f>
        <v>31 Jul 2019 19:00</v>
      </c>
      <c r="U79" t="str">
        <f>"31 Jul 2019 20:00"</f>
        <v>31 Jul 2019 20:00</v>
      </c>
      <c r="V79" t="str">
        <f>"1h"</f>
        <v>1h</v>
      </c>
      <c r="W79" t="str">
        <f>"31 Jul 2019 19:00"</f>
        <v>31 Jul 2019 19:00</v>
      </c>
      <c r="X79" t="str">
        <f>"30 Jul 2019 23:30"</f>
        <v>30 Jul 2019 23:30</v>
      </c>
      <c r="Y79" t="str">
        <f>"31 Jul 2019 20:00"</f>
        <v>31 Jul 2019 20:00</v>
      </c>
      <c r="Z79" t="str">
        <f>""</f>
        <v/>
      </c>
      <c r="AA79" t="str">
        <f>""</f>
        <v/>
      </c>
      <c r="AB79" t="str">
        <f t="shared" si="64"/>
        <v>NN</v>
      </c>
      <c r="AC79" t="str">
        <f>"AL"</f>
        <v>AL</v>
      </c>
      <c r="AD79" t="str">
        <f>"-19"</f>
        <v>-19</v>
      </c>
      <c r="AE79" t="str">
        <f t="shared" si="72"/>
        <v>0</v>
      </c>
      <c r="AF79" t="str">
        <f>"31 Jul 2019 19:00"</f>
        <v>31 Jul 2019 19:00</v>
      </c>
      <c r="AG79" t="str">
        <f>"31 Jul 2019 19:00"</f>
        <v>31 Jul 2019 19:00</v>
      </c>
      <c r="AH79" t="str">
        <f>"31 Jul 2019 19:00"</f>
        <v>31 Jul 2019 19:00</v>
      </c>
      <c r="AI79" t="str">
        <f>"31 Jul 2019 19:00"</f>
        <v>31 Jul 2019 19:00</v>
      </c>
      <c r="AJ79" t="str">
        <f>"31 Jul 2019 19:00"</f>
        <v>31 Jul 2019 19:00</v>
      </c>
      <c r="AK79" t="str">
        <f t="shared" si="76"/>
        <v>31 Jul 2019 19:00</v>
      </c>
      <c r="AL79" t="str">
        <f t="shared" si="76"/>
        <v>31 Jul 2019 19:00</v>
      </c>
      <c r="AM79" t="str">
        <f t="shared" si="76"/>
        <v>31 Jul 2019 19:00</v>
      </c>
      <c r="AN79" t="str">
        <f t="shared" si="76"/>
        <v>31 Jul 2019 19:00</v>
      </c>
      <c r="AO79" t="str">
        <f t="shared" si="76"/>
        <v>31 Jul 2019 19:00</v>
      </c>
      <c r="AP79" t="str">
        <f t="shared" si="76"/>
        <v>31 Jul 2019 19:00</v>
      </c>
      <c r="AQ79" t="str">
        <f>"31 Jul 2019 19:00"</f>
        <v>31 Jul 2019 19:00</v>
      </c>
      <c r="AR79" t="str">
        <f t="shared" si="77"/>
        <v>Y</v>
      </c>
      <c r="AS79" t="str">
        <f t="shared" si="77"/>
        <v>Y</v>
      </c>
      <c r="AT79" t="str">
        <f t="shared" si="77"/>
        <v>Y</v>
      </c>
      <c r="AU79" t="str">
        <f t="shared" si="60"/>
        <v>N</v>
      </c>
      <c r="AV79" t="str">
        <f t="shared" si="60"/>
        <v>N</v>
      </c>
      <c r="AW79" t="str">
        <f>""</f>
        <v/>
      </c>
      <c r="AX79" t="str">
        <f t="shared" si="65"/>
        <v>No</v>
      </c>
      <c r="AY79" t="str">
        <f>""</f>
        <v/>
      </c>
      <c r="AZ79" t="s">
        <v>12</v>
      </c>
      <c r="BA79" t="s">
        <v>110</v>
      </c>
      <c r="BB79" t="s">
        <v>110</v>
      </c>
    </row>
    <row r="80" spans="1:54">
      <c r="A80" s="7" t="str">
        <f t="shared" si="66"/>
        <v>PHKGZK2598N</v>
      </c>
      <c r="B80" s="8">
        <f t="shared" si="67"/>
        <v>43677.8125</v>
      </c>
      <c r="C80" t="str">
        <f t="shared" si="23"/>
        <v>PHKG</v>
      </c>
      <c r="D80" t="str">
        <f>"ZK2"</f>
        <v>ZK2</v>
      </c>
      <c r="E80" t="str">
        <f>"FO SHAN 10 HAO"</f>
        <v>FO SHAN 10 HAO</v>
      </c>
      <c r="F80" t="str">
        <f>""</f>
        <v/>
      </c>
      <c r="G80" t="str">
        <f t="shared" si="62"/>
        <v>OOCL</v>
      </c>
      <c r="H80" t="str">
        <f>""</f>
        <v/>
      </c>
      <c r="I80" t="str">
        <f>"598"</f>
        <v>598</v>
      </c>
      <c r="J80" t="str">
        <f>"N"</f>
        <v>N</v>
      </c>
      <c r="K80" t="str">
        <f>"1"</f>
        <v>1</v>
      </c>
      <c r="L80" t="str">
        <f>"HKG13"</f>
        <v>HKG13</v>
      </c>
      <c r="M80" t="str">
        <f>"River Trade Terminal Co., Ltd"</f>
        <v>River Trade Terminal Co., Ltd</v>
      </c>
      <c r="N80" t="str">
        <f t="shared" si="63"/>
        <v>HKG</v>
      </c>
      <c r="O80" t="str">
        <f t="shared" si="74"/>
        <v>1</v>
      </c>
      <c r="P80" t="str">
        <f>""</f>
        <v/>
      </c>
      <c r="Q80" t="str">
        <f>"598N"</f>
        <v>598N</v>
      </c>
      <c r="R80" t="str">
        <f>"598N"</f>
        <v>598N</v>
      </c>
      <c r="S80" t="str">
        <f>""</f>
        <v/>
      </c>
      <c r="T80" t="str">
        <f>"31 Jul 2019 18:00"</f>
        <v>31 Jul 2019 18:00</v>
      </c>
      <c r="U80" t="str">
        <f>"31 Jul 2019 20:00"</f>
        <v>31 Jul 2019 20:00</v>
      </c>
      <c r="V80" t="str">
        <f>"2h"</f>
        <v>2h</v>
      </c>
      <c r="W80" t="str">
        <f>"31 Jul 2019 18:00"</f>
        <v>31 Jul 2019 18:00</v>
      </c>
      <c r="X80" t="str">
        <f>""</f>
        <v/>
      </c>
      <c r="Y80" t="str">
        <f>"31 Jul 2019 20:00"</f>
        <v>31 Jul 2019 20:00</v>
      </c>
      <c r="Z80" t="str">
        <f>""</f>
        <v/>
      </c>
      <c r="AA80" t="str">
        <f>""</f>
        <v/>
      </c>
      <c r="AB80" t="str">
        <f t="shared" si="64"/>
        <v>NN</v>
      </c>
      <c r="AC80" t="str">
        <f t="shared" ref="AC80:AC92" si="78">"LL"</f>
        <v>LL</v>
      </c>
      <c r="AD80" t="str">
        <f t="shared" ref="AD80:AE95" si="79">"0"</f>
        <v>0</v>
      </c>
      <c r="AE80" t="str">
        <f t="shared" si="72"/>
        <v>0</v>
      </c>
      <c r="AF80" t="str">
        <f>"31 Jul 2019 18:00"</f>
        <v>31 Jul 2019 18:00</v>
      </c>
      <c r="AG80" t="str">
        <f>"31 Jul 2019 18:00"</f>
        <v>31 Jul 2019 18:00</v>
      </c>
      <c r="AH80" t="str">
        <f>"31 Jul 2019 18:00"</f>
        <v>31 Jul 2019 18:00</v>
      </c>
      <c r="AI80" t="str">
        <f>"31 Jul 2019 18:00"</f>
        <v>31 Jul 2019 18:00</v>
      </c>
      <c r="AJ80" t="str">
        <f>"31 Jul 2019 18:00"</f>
        <v>31 Jul 2019 18:00</v>
      </c>
      <c r="AK80" t="str">
        <f t="shared" ref="AK80:AP80" si="80">"31 Jul 2019 19:30"</f>
        <v>31 Jul 2019 19:30</v>
      </c>
      <c r="AL80" t="str">
        <f t="shared" si="80"/>
        <v>31 Jul 2019 19:30</v>
      </c>
      <c r="AM80" t="str">
        <f t="shared" si="80"/>
        <v>31 Jul 2019 19:30</v>
      </c>
      <c r="AN80" t="str">
        <f t="shared" si="80"/>
        <v>31 Jul 2019 19:30</v>
      </c>
      <c r="AO80" t="str">
        <f t="shared" si="80"/>
        <v>31 Jul 2019 19:30</v>
      </c>
      <c r="AP80" t="str">
        <f t="shared" si="80"/>
        <v>31 Jul 2019 19:30</v>
      </c>
      <c r="AQ80" t="str">
        <f>"31 Jul 2019 19:00"</f>
        <v>31 Jul 2019 19:00</v>
      </c>
      <c r="AR80" t="str">
        <f t="shared" si="77"/>
        <v>Y</v>
      </c>
      <c r="AS80" t="str">
        <f t="shared" si="77"/>
        <v>Y</v>
      </c>
      <c r="AT80" t="str">
        <f t="shared" si="77"/>
        <v>Y</v>
      </c>
      <c r="AU80" t="str">
        <f t="shared" si="60"/>
        <v>N</v>
      </c>
      <c r="AV80" t="str">
        <f t="shared" si="60"/>
        <v>N</v>
      </c>
      <c r="AW80" t="str">
        <f>""</f>
        <v/>
      </c>
      <c r="AX80" t="str">
        <f t="shared" si="65"/>
        <v>No</v>
      </c>
      <c r="AY80" t="str">
        <f>""</f>
        <v/>
      </c>
      <c r="AZ80" t="s">
        <v>12</v>
      </c>
      <c r="BA80" t="s">
        <v>110</v>
      </c>
      <c r="BB80" t="s">
        <v>110</v>
      </c>
    </row>
    <row r="81" spans="1:54">
      <c r="A81" s="7" t="str">
        <f t="shared" si="66"/>
        <v>PHKG5AR174S</v>
      </c>
      <c r="B81" s="8" t="e">
        <f t="shared" si="67"/>
        <v>#VALUE!</v>
      </c>
      <c r="C81" t="str">
        <f t="shared" si="23"/>
        <v>PHKG</v>
      </c>
      <c r="D81" t="str">
        <f>"5AR"</f>
        <v>5AR</v>
      </c>
      <c r="E81" t="str">
        <f>"ZHI HANG 886"</f>
        <v>ZHI HANG 886</v>
      </c>
      <c r="F81" t="str">
        <f>""</f>
        <v/>
      </c>
      <c r="G81" t="str">
        <f t="shared" si="62"/>
        <v>OOCL</v>
      </c>
      <c r="H81" t="str">
        <f>""</f>
        <v/>
      </c>
      <c r="I81" t="str">
        <f>"174"</f>
        <v>174</v>
      </c>
      <c r="J81" t="str">
        <f>"S"</f>
        <v>S</v>
      </c>
      <c r="K81" t="str">
        <f>"2"</f>
        <v>2</v>
      </c>
      <c r="L81" t="str">
        <f>"HKG02"</f>
        <v>HKG02</v>
      </c>
      <c r="M81" t="str">
        <f>"HIT - Hongkong International Terminals"</f>
        <v>HIT - Hongkong International Terminals</v>
      </c>
      <c r="N81" t="str">
        <f t="shared" si="63"/>
        <v>HKG</v>
      </c>
      <c r="O81" t="str">
        <f t="shared" si="74"/>
        <v>1</v>
      </c>
      <c r="P81" t="str">
        <f>""</f>
        <v/>
      </c>
      <c r="Q81" t="str">
        <f>"174S"</f>
        <v>174S</v>
      </c>
      <c r="R81" t="str">
        <f>"174S"</f>
        <v>174S</v>
      </c>
      <c r="S81" t="str">
        <f>""</f>
        <v/>
      </c>
      <c r="T81" t="str">
        <f>"31 Jul 2019 20:00"</f>
        <v>31 Jul 2019 20:00</v>
      </c>
      <c r="U81" t="str">
        <f>"31 Jul 2019 21:00"</f>
        <v>31 Jul 2019 21:00</v>
      </c>
      <c r="V81" t="str">
        <f>"1h"</f>
        <v>1h</v>
      </c>
      <c r="W81" t="str">
        <f>"31 Jul 2019 20:00"</f>
        <v>31 Jul 2019 20:00</v>
      </c>
      <c r="X81" t="str">
        <f>""</f>
        <v/>
      </c>
      <c r="Y81" t="str">
        <f>"31 Jul 2019 21:00"</f>
        <v>31 Jul 2019 21:00</v>
      </c>
      <c r="Z81" t="str">
        <f>""</f>
        <v/>
      </c>
      <c r="AA81" t="str">
        <f>""</f>
        <v/>
      </c>
      <c r="AB81" t="str">
        <f t="shared" si="64"/>
        <v>NN</v>
      </c>
      <c r="AC81" t="str">
        <f t="shared" si="78"/>
        <v>LL</v>
      </c>
      <c r="AD81" t="str">
        <f t="shared" si="79"/>
        <v>0</v>
      </c>
      <c r="AE81" t="str">
        <f t="shared" si="72"/>
        <v>0</v>
      </c>
      <c r="AF81" t="str">
        <f>"31 Jul 2019 20:00"</f>
        <v>31 Jul 2019 20:00</v>
      </c>
      <c r="AG81" t="str">
        <f>"31 Jul 2019 20:00"</f>
        <v>31 Jul 2019 20:00</v>
      </c>
      <c r="AH81" t="str">
        <f>"31 Jul 2019 20:00"</f>
        <v>31 Jul 2019 20:00</v>
      </c>
      <c r="AI81" t="str">
        <f>"31 Jul 2019 20:00"</f>
        <v>31 Jul 2019 20:00</v>
      </c>
      <c r="AJ81" t="str">
        <f>"31 Jul 2019 20:00"</f>
        <v>31 Jul 2019 20:00</v>
      </c>
      <c r="AK81" t="str">
        <f>"31 Jul 2019 21:00"</f>
        <v>31 Jul 2019 21:00</v>
      </c>
      <c r="AL81" t="str">
        <f>"31 Jul 2019 21:00"</f>
        <v>31 Jul 2019 21:00</v>
      </c>
      <c r="AM81" t="str">
        <f>"31 Jul 2019 21:00"</f>
        <v>31 Jul 2019 21:00</v>
      </c>
      <c r="AN81" t="str">
        <f>"31 Jul 2019 21:00"</f>
        <v>31 Jul 2019 21:00</v>
      </c>
      <c r="AO81" t="str">
        <f>"31 Jul 2019 21:00"</f>
        <v>31 Jul 2019 21:00</v>
      </c>
      <c r="AP81" t="str">
        <f>""</f>
        <v/>
      </c>
      <c r="AQ81" t="str">
        <f>"31 Jul 2019 20:00"</f>
        <v>31 Jul 2019 20:00</v>
      </c>
      <c r="AR81" t="str">
        <f t="shared" si="77"/>
        <v>Y</v>
      </c>
      <c r="AS81" t="str">
        <f t="shared" si="77"/>
        <v>Y</v>
      </c>
      <c r="AT81" t="str">
        <f t="shared" si="77"/>
        <v>Y</v>
      </c>
      <c r="AU81" t="str">
        <f t="shared" si="60"/>
        <v>N</v>
      </c>
      <c r="AV81" t="str">
        <f t="shared" si="60"/>
        <v>N</v>
      </c>
      <c r="AW81" t="str">
        <f>""</f>
        <v/>
      </c>
      <c r="AX81" t="str">
        <f t="shared" si="65"/>
        <v>No</v>
      </c>
      <c r="AY81" t="str">
        <f>""</f>
        <v/>
      </c>
      <c r="AZ81" t="s">
        <v>12</v>
      </c>
      <c r="BA81" t="s">
        <v>110</v>
      </c>
      <c r="BB81" t="s">
        <v>110</v>
      </c>
    </row>
    <row r="82" spans="1:54">
      <c r="A82" s="7" t="str">
        <f t="shared" si="66"/>
        <v>PHKG2VU0828</v>
      </c>
      <c r="B82" s="8">
        <f t="shared" si="67"/>
        <v>43677.958333333336</v>
      </c>
      <c r="C82" t="str">
        <f t="shared" si="23"/>
        <v>PHKG</v>
      </c>
      <c r="D82" t="str">
        <f>"2VU"</f>
        <v>2VU</v>
      </c>
      <c r="E82" t="str">
        <f>"HUI JIN QIAO 298"</f>
        <v>HUI JIN QIAO 298</v>
      </c>
      <c r="F82" t="str">
        <f>""</f>
        <v/>
      </c>
      <c r="G82" t="str">
        <f t="shared" si="62"/>
        <v>OOCL</v>
      </c>
      <c r="H82" t="str">
        <f>""</f>
        <v/>
      </c>
      <c r="I82" t="str">
        <f>"196"</f>
        <v>196</v>
      </c>
      <c r="J82" t="str">
        <f>"S"</f>
        <v>S</v>
      </c>
      <c r="K82" t="str">
        <f>"2"</f>
        <v>2</v>
      </c>
      <c r="L82" t="str">
        <f>"HKG02"</f>
        <v>HKG02</v>
      </c>
      <c r="M82" t="str">
        <f>"HIT - Hongkong International Terminals"</f>
        <v>HIT - Hongkong International Terminals</v>
      </c>
      <c r="N82" t="str">
        <f t="shared" si="63"/>
        <v>HKG</v>
      </c>
      <c r="O82" t="str">
        <f t="shared" si="74"/>
        <v>1</v>
      </c>
      <c r="P82" t="str">
        <f>""</f>
        <v/>
      </c>
      <c r="Q82" t="str">
        <f>"0828"</f>
        <v>0828</v>
      </c>
      <c r="R82" t="str">
        <f>"0828"</f>
        <v>0828</v>
      </c>
      <c r="S82" t="str">
        <f>""</f>
        <v/>
      </c>
      <c r="T82" t="str">
        <f>"31 Jul 2019 18:00"</f>
        <v>31 Jul 2019 18:00</v>
      </c>
      <c r="U82" t="str">
        <f>"31 Jul 2019 23:00"</f>
        <v>31 Jul 2019 23:00</v>
      </c>
      <c r="V82" t="str">
        <f>"5h"</f>
        <v>5h</v>
      </c>
      <c r="W82" t="str">
        <f>"31 Jul 2019 18:00"</f>
        <v>31 Jul 2019 18:00</v>
      </c>
      <c r="X82" t="str">
        <f>""</f>
        <v/>
      </c>
      <c r="Y82" t="str">
        <f>"31 Jul 2019 23:00"</f>
        <v>31 Jul 2019 23:00</v>
      </c>
      <c r="Z82" t="str">
        <f>""</f>
        <v/>
      </c>
      <c r="AA82" t="str">
        <f>""</f>
        <v/>
      </c>
      <c r="AB82" t="str">
        <f t="shared" si="64"/>
        <v>NN</v>
      </c>
      <c r="AC82" t="str">
        <f t="shared" si="78"/>
        <v>LL</v>
      </c>
      <c r="AD82" t="str">
        <f t="shared" si="79"/>
        <v>0</v>
      </c>
      <c r="AE82" t="str">
        <f t="shared" si="72"/>
        <v>0</v>
      </c>
      <c r="AF82" t="str">
        <f>"31 Jul 2019 18:00"</f>
        <v>31 Jul 2019 18:00</v>
      </c>
      <c r="AG82" t="str">
        <f>"31 Jul 2019 18:00"</f>
        <v>31 Jul 2019 18:00</v>
      </c>
      <c r="AH82" t="str">
        <f>"31 Jul 2019 18:00"</f>
        <v>31 Jul 2019 18:00</v>
      </c>
      <c r="AI82" t="str">
        <f>"31 Jul 2019 18:00"</f>
        <v>31 Jul 2019 18:00</v>
      </c>
      <c r="AJ82" t="str">
        <f>"31 Jul 2019 18:00"</f>
        <v>31 Jul 2019 18:00</v>
      </c>
      <c r="AK82" t="str">
        <f>"31 Jul 2019 22:00"</f>
        <v>31 Jul 2019 22:00</v>
      </c>
      <c r="AL82" t="str">
        <f>"31 Jul 2019 22:00"</f>
        <v>31 Jul 2019 22:00</v>
      </c>
      <c r="AM82" t="str">
        <f>"31 Jul 2019 22:00"</f>
        <v>31 Jul 2019 22:00</v>
      </c>
      <c r="AN82" t="str">
        <f>"31 Jul 2019 22:00"</f>
        <v>31 Jul 2019 22:00</v>
      </c>
      <c r="AO82" t="str">
        <f>"31 Jul 2019 22:00"</f>
        <v>31 Jul 2019 22:00</v>
      </c>
      <c r="AP82" t="str">
        <f>"31 Jul 2019 23:00"</f>
        <v>31 Jul 2019 23:00</v>
      </c>
      <c r="AQ82" t="str">
        <f>"31 Jul 2019 22:00"</f>
        <v>31 Jul 2019 22:00</v>
      </c>
      <c r="AR82" t="str">
        <f t="shared" si="77"/>
        <v>Y</v>
      </c>
      <c r="AS82" t="str">
        <f t="shared" si="77"/>
        <v>Y</v>
      </c>
      <c r="AT82" t="str">
        <f t="shared" si="77"/>
        <v>Y</v>
      </c>
      <c r="AU82" t="str">
        <f t="shared" ref="AU82:AV101" si="81">"N"</f>
        <v>N</v>
      </c>
      <c r="AV82" t="str">
        <f t="shared" si="81"/>
        <v>N</v>
      </c>
      <c r="AW82" t="str">
        <f>""</f>
        <v/>
      </c>
      <c r="AX82" t="str">
        <f t="shared" si="65"/>
        <v>No</v>
      </c>
      <c r="AY82" t="str">
        <f>""</f>
        <v/>
      </c>
      <c r="AZ82" t="s">
        <v>12</v>
      </c>
      <c r="BA82" t="s">
        <v>110</v>
      </c>
      <c r="BB82" t="s">
        <v>110</v>
      </c>
    </row>
    <row r="83" spans="1:54">
      <c r="A83" s="7" t="str">
        <f t="shared" si="66"/>
        <v>PHKG2VU0829</v>
      </c>
      <c r="B83" s="8">
        <f t="shared" si="67"/>
        <v>43678.041666666664</v>
      </c>
      <c r="C83" t="str">
        <f t="shared" si="23"/>
        <v>PHKG</v>
      </c>
      <c r="D83" t="str">
        <f>"2VU"</f>
        <v>2VU</v>
      </c>
      <c r="E83" t="str">
        <f>"HUI JIN QIAO 298"</f>
        <v>HUI JIN QIAO 298</v>
      </c>
      <c r="F83" t="str">
        <f>""</f>
        <v/>
      </c>
      <c r="G83" t="str">
        <f t="shared" si="62"/>
        <v>OOCL</v>
      </c>
      <c r="H83" t="str">
        <f>""</f>
        <v/>
      </c>
      <c r="I83" t="str">
        <f>"196"</f>
        <v>196</v>
      </c>
      <c r="J83" t="str">
        <f>"S"</f>
        <v>S</v>
      </c>
      <c r="K83" t="str">
        <f>"3"</f>
        <v>3</v>
      </c>
      <c r="L83" t="str">
        <f>"HKG04"</f>
        <v>HKG04</v>
      </c>
      <c r="M83" t="str">
        <f>"Cosco - HIT Terminals (HK) Ltd"</f>
        <v>Cosco - HIT Terminals (HK) Ltd</v>
      </c>
      <c r="N83" t="str">
        <f t="shared" si="63"/>
        <v>HKG</v>
      </c>
      <c r="O83" t="str">
        <f>"2"</f>
        <v>2</v>
      </c>
      <c r="P83" t="str">
        <f>""</f>
        <v/>
      </c>
      <c r="Q83" t="str">
        <f>"0828"</f>
        <v>0828</v>
      </c>
      <c r="R83" t="str">
        <f>"0829"</f>
        <v>0829</v>
      </c>
      <c r="S83" t="str">
        <f>""</f>
        <v/>
      </c>
      <c r="T83" t="str">
        <f>"01 Aug 2019 01:00"</f>
        <v>01 Aug 2019 01:00</v>
      </c>
      <c r="U83" t="str">
        <f>"01 Aug 2019 02:00"</f>
        <v>01 Aug 2019 02:00</v>
      </c>
      <c r="V83" t="str">
        <f>"1h"</f>
        <v>1h</v>
      </c>
      <c r="W83" t="str">
        <f>"01 Aug 2019 01:00"</f>
        <v>01 Aug 2019 01:00</v>
      </c>
      <c r="X83" t="str">
        <f>""</f>
        <v/>
      </c>
      <c r="Y83" t="str">
        <f>"01 Aug 2019 02:00"</f>
        <v>01 Aug 2019 02:00</v>
      </c>
      <c r="Z83" t="str">
        <f>""</f>
        <v/>
      </c>
      <c r="AA83" t="str">
        <f>""</f>
        <v/>
      </c>
      <c r="AB83" t="str">
        <f t="shared" si="64"/>
        <v>NN</v>
      </c>
      <c r="AC83" t="str">
        <f t="shared" si="78"/>
        <v>LL</v>
      </c>
      <c r="AD83" t="str">
        <f t="shared" si="79"/>
        <v>0</v>
      </c>
      <c r="AE83" t="str">
        <f t="shared" si="72"/>
        <v>0</v>
      </c>
      <c r="AF83" t="str">
        <f t="shared" ref="AF83:AQ84" si="82">"01 Aug 2019 01:00"</f>
        <v>01 Aug 2019 01:00</v>
      </c>
      <c r="AG83" t="str">
        <f t="shared" si="82"/>
        <v>01 Aug 2019 01:00</v>
      </c>
      <c r="AH83" t="str">
        <f t="shared" si="82"/>
        <v>01 Aug 2019 01:00</v>
      </c>
      <c r="AI83" t="str">
        <f t="shared" si="82"/>
        <v>01 Aug 2019 01:00</v>
      </c>
      <c r="AJ83" t="str">
        <f t="shared" si="82"/>
        <v>01 Aug 2019 01:00</v>
      </c>
      <c r="AK83" t="str">
        <f t="shared" si="82"/>
        <v>01 Aug 2019 01:00</v>
      </c>
      <c r="AL83" t="str">
        <f t="shared" si="82"/>
        <v>01 Aug 2019 01:00</v>
      </c>
      <c r="AM83" t="str">
        <f t="shared" si="82"/>
        <v>01 Aug 2019 01:00</v>
      </c>
      <c r="AN83" t="str">
        <f t="shared" si="82"/>
        <v>01 Aug 2019 01:00</v>
      </c>
      <c r="AO83" t="str">
        <f t="shared" si="82"/>
        <v>01 Aug 2019 01:00</v>
      </c>
      <c r="AP83" t="str">
        <f t="shared" si="82"/>
        <v>01 Aug 2019 01:00</v>
      </c>
      <c r="AQ83" t="str">
        <f t="shared" si="82"/>
        <v>01 Aug 2019 01:00</v>
      </c>
      <c r="AR83" t="str">
        <f t="shared" si="77"/>
        <v>Y</v>
      </c>
      <c r="AS83" t="str">
        <f t="shared" si="77"/>
        <v>Y</v>
      </c>
      <c r="AT83" t="str">
        <f t="shared" si="77"/>
        <v>Y</v>
      </c>
      <c r="AU83" t="str">
        <f t="shared" si="81"/>
        <v>N</v>
      </c>
      <c r="AV83" t="str">
        <f t="shared" si="81"/>
        <v>N</v>
      </c>
      <c r="AW83" t="str">
        <f>""</f>
        <v/>
      </c>
      <c r="AX83" t="str">
        <f t="shared" si="65"/>
        <v>No</v>
      </c>
      <c r="AY83" t="str">
        <f>""</f>
        <v/>
      </c>
      <c r="AZ83" t="s">
        <v>12</v>
      </c>
      <c r="BA83" t="s">
        <v>110</v>
      </c>
      <c r="BB83" t="s">
        <v>110</v>
      </c>
    </row>
    <row r="84" spans="1:54">
      <c r="A84" s="7" t="str">
        <f t="shared" si="66"/>
        <v>PHKG2VU0829</v>
      </c>
      <c r="B84" s="8">
        <f t="shared" si="67"/>
        <v>43678.041666666664</v>
      </c>
      <c r="C84" t="str">
        <f t="shared" si="23"/>
        <v>PHKG</v>
      </c>
      <c r="D84" t="str">
        <f>"2VU"</f>
        <v>2VU</v>
      </c>
      <c r="E84" t="str">
        <f>"HUI JIN QIAO 298"</f>
        <v>HUI JIN QIAO 298</v>
      </c>
      <c r="F84" t="str">
        <f>""</f>
        <v/>
      </c>
      <c r="G84" t="str">
        <f t="shared" si="62"/>
        <v>OOCL</v>
      </c>
      <c r="H84" t="str">
        <f>""</f>
        <v/>
      </c>
      <c r="I84" t="str">
        <f>"197"</f>
        <v>197</v>
      </c>
      <c r="J84" t="str">
        <f>"N"</f>
        <v>N</v>
      </c>
      <c r="K84" t="str">
        <f>"1"</f>
        <v>1</v>
      </c>
      <c r="L84" t="str">
        <f>"HKG04"</f>
        <v>HKG04</v>
      </c>
      <c r="M84" t="str">
        <f>"Cosco - HIT Terminals (HK) Ltd"</f>
        <v>Cosco - HIT Terminals (HK) Ltd</v>
      </c>
      <c r="N84" t="str">
        <f t="shared" si="63"/>
        <v>HKG</v>
      </c>
      <c r="O84" t="str">
        <f>"1"</f>
        <v>1</v>
      </c>
      <c r="P84" t="str">
        <f>""</f>
        <v/>
      </c>
      <c r="Q84" t="str">
        <f>"0828"</f>
        <v>0828</v>
      </c>
      <c r="R84" t="str">
        <f>"0829"</f>
        <v>0829</v>
      </c>
      <c r="S84" t="str">
        <f>""</f>
        <v/>
      </c>
      <c r="T84" t="str">
        <f>"01 Aug 2019 01:00"</f>
        <v>01 Aug 2019 01:00</v>
      </c>
      <c r="U84" t="str">
        <f>"01 Aug 2019 02:00"</f>
        <v>01 Aug 2019 02:00</v>
      </c>
      <c r="V84" t="str">
        <f>"1h"</f>
        <v>1h</v>
      </c>
      <c r="W84" t="str">
        <f>"01 Aug 2019 01:00"</f>
        <v>01 Aug 2019 01:00</v>
      </c>
      <c r="X84" t="str">
        <f>""</f>
        <v/>
      </c>
      <c r="Y84" t="str">
        <f>"01 Aug 2019 02:00"</f>
        <v>01 Aug 2019 02:00</v>
      </c>
      <c r="Z84" t="str">
        <f>""</f>
        <v/>
      </c>
      <c r="AA84" t="str">
        <f>""</f>
        <v/>
      </c>
      <c r="AB84" t="str">
        <f t="shared" si="64"/>
        <v>NN</v>
      </c>
      <c r="AC84" t="str">
        <f t="shared" si="78"/>
        <v>LL</v>
      </c>
      <c r="AD84" t="str">
        <f t="shared" si="79"/>
        <v>0</v>
      </c>
      <c r="AE84" t="str">
        <f t="shared" si="72"/>
        <v>0</v>
      </c>
      <c r="AF84" t="str">
        <f t="shared" si="82"/>
        <v>01 Aug 2019 01:00</v>
      </c>
      <c r="AG84" t="str">
        <f t="shared" si="82"/>
        <v>01 Aug 2019 01:00</v>
      </c>
      <c r="AH84" t="str">
        <f t="shared" si="82"/>
        <v>01 Aug 2019 01:00</v>
      </c>
      <c r="AI84" t="str">
        <f t="shared" si="82"/>
        <v>01 Aug 2019 01:00</v>
      </c>
      <c r="AJ84" t="str">
        <f t="shared" si="82"/>
        <v>01 Aug 2019 01:00</v>
      </c>
      <c r="AK84" t="str">
        <f t="shared" si="82"/>
        <v>01 Aug 2019 01:00</v>
      </c>
      <c r="AL84" t="str">
        <f t="shared" si="82"/>
        <v>01 Aug 2019 01:00</v>
      </c>
      <c r="AM84" t="str">
        <f t="shared" si="82"/>
        <v>01 Aug 2019 01:00</v>
      </c>
      <c r="AN84" t="str">
        <f t="shared" si="82"/>
        <v>01 Aug 2019 01:00</v>
      </c>
      <c r="AO84" t="str">
        <f t="shared" si="82"/>
        <v>01 Aug 2019 01:00</v>
      </c>
      <c r="AP84" t="str">
        <f t="shared" si="82"/>
        <v>01 Aug 2019 01:00</v>
      </c>
      <c r="AQ84" t="str">
        <f t="shared" si="82"/>
        <v>01 Aug 2019 01:00</v>
      </c>
      <c r="AR84" t="str">
        <f t="shared" si="77"/>
        <v>Y</v>
      </c>
      <c r="AS84" t="str">
        <f t="shared" si="77"/>
        <v>Y</v>
      </c>
      <c r="AT84" t="str">
        <f t="shared" si="77"/>
        <v>Y</v>
      </c>
      <c r="AU84" t="str">
        <f t="shared" si="81"/>
        <v>N</v>
      </c>
      <c r="AV84" t="str">
        <f t="shared" si="81"/>
        <v>N</v>
      </c>
      <c r="AW84" t="str">
        <f>""</f>
        <v/>
      </c>
      <c r="AX84" t="str">
        <f t="shared" si="65"/>
        <v>No</v>
      </c>
      <c r="AY84" t="str">
        <f>""</f>
        <v/>
      </c>
      <c r="AZ84" t="s">
        <v>12</v>
      </c>
      <c r="BA84" t="s">
        <v>110</v>
      </c>
      <c r="BB84" t="s">
        <v>126</v>
      </c>
    </row>
    <row r="85" spans="1:54">
      <c r="A85" s="7" t="str">
        <f t="shared" si="66"/>
        <v>PHKG2VU0829</v>
      </c>
      <c r="B85" s="8">
        <f t="shared" si="67"/>
        <v>43678.25</v>
      </c>
      <c r="C85" t="str">
        <f t="shared" si="23"/>
        <v>PHKG</v>
      </c>
      <c r="D85" t="str">
        <f>"2VU"</f>
        <v>2VU</v>
      </c>
      <c r="E85" t="str">
        <f>"HUI JIN QIAO 298"</f>
        <v>HUI JIN QIAO 298</v>
      </c>
      <c r="F85" t="str">
        <f>""</f>
        <v/>
      </c>
      <c r="G85" t="str">
        <f t="shared" si="62"/>
        <v>OOCL</v>
      </c>
      <c r="H85" t="str">
        <f>""</f>
        <v/>
      </c>
      <c r="I85" t="str">
        <f>"197"</f>
        <v>197</v>
      </c>
      <c r="J85" t="str">
        <f>"N"</f>
        <v>N</v>
      </c>
      <c r="K85" t="str">
        <f>"2"</f>
        <v>2</v>
      </c>
      <c r="L85" t="str">
        <f>"HKG02"</f>
        <v>HKG02</v>
      </c>
      <c r="M85" t="str">
        <f>"HIT - Hongkong International Terminals"</f>
        <v>HIT - Hongkong International Terminals</v>
      </c>
      <c r="N85" t="str">
        <f t="shared" si="63"/>
        <v>HKG</v>
      </c>
      <c r="O85" t="str">
        <f>"2"</f>
        <v>2</v>
      </c>
      <c r="P85" t="str">
        <f>""</f>
        <v/>
      </c>
      <c r="Q85" t="str">
        <f>"0829"</f>
        <v>0829</v>
      </c>
      <c r="R85" t="str">
        <f>"0829"</f>
        <v>0829</v>
      </c>
      <c r="S85" t="str">
        <f>""</f>
        <v/>
      </c>
      <c r="T85" t="str">
        <f>"01 Aug 2019 06:00"</f>
        <v>01 Aug 2019 06:00</v>
      </c>
      <c r="U85" t="str">
        <f>"01 Aug 2019 07:00"</f>
        <v>01 Aug 2019 07:00</v>
      </c>
      <c r="V85" t="str">
        <f>"1h"</f>
        <v>1h</v>
      </c>
      <c r="W85" t="str">
        <f>"01 Aug 2019 06:00"</f>
        <v>01 Aug 2019 06:00</v>
      </c>
      <c r="X85" t="str">
        <f>""</f>
        <v/>
      </c>
      <c r="Y85" t="str">
        <f>"01 Aug 2019 07:00"</f>
        <v>01 Aug 2019 07:00</v>
      </c>
      <c r="Z85" t="str">
        <f>""</f>
        <v/>
      </c>
      <c r="AA85" t="str">
        <f>""</f>
        <v/>
      </c>
      <c r="AB85" t="str">
        <f t="shared" si="64"/>
        <v>NN</v>
      </c>
      <c r="AC85" t="str">
        <f t="shared" si="78"/>
        <v>LL</v>
      </c>
      <c r="AD85" t="str">
        <f t="shared" si="79"/>
        <v>0</v>
      </c>
      <c r="AE85" t="str">
        <f t="shared" si="72"/>
        <v>0</v>
      </c>
      <c r="AF85" t="str">
        <f t="shared" ref="AF85:AQ85" si="83">"01 Aug 2019 06:00"</f>
        <v>01 Aug 2019 06:00</v>
      </c>
      <c r="AG85" t="str">
        <f t="shared" si="83"/>
        <v>01 Aug 2019 06:00</v>
      </c>
      <c r="AH85" t="str">
        <f t="shared" si="83"/>
        <v>01 Aug 2019 06:00</v>
      </c>
      <c r="AI85" t="str">
        <f t="shared" si="83"/>
        <v>01 Aug 2019 06:00</v>
      </c>
      <c r="AJ85" t="str">
        <f t="shared" si="83"/>
        <v>01 Aug 2019 06:00</v>
      </c>
      <c r="AK85" t="str">
        <f t="shared" si="83"/>
        <v>01 Aug 2019 06:00</v>
      </c>
      <c r="AL85" t="str">
        <f t="shared" si="83"/>
        <v>01 Aug 2019 06:00</v>
      </c>
      <c r="AM85" t="str">
        <f t="shared" si="83"/>
        <v>01 Aug 2019 06:00</v>
      </c>
      <c r="AN85" t="str">
        <f t="shared" si="83"/>
        <v>01 Aug 2019 06:00</v>
      </c>
      <c r="AO85" t="str">
        <f t="shared" si="83"/>
        <v>01 Aug 2019 06:00</v>
      </c>
      <c r="AP85" t="str">
        <f t="shared" si="83"/>
        <v>01 Aug 2019 06:00</v>
      </c>
      <c r="AQ85" t="str">
        <f t="shared" si="83"/>
        <v>01 Aug 2019 06:00</v>
      </c>
      <c r="AR85" t="str">
        <f t="shared" si="77"/>
        <v>Y</v>
      </c>
      <c r="AS85" t="str">
        <f t="shared" si="77"/>
        <v>Y</v>
      </c>
      <c r="AT85" t="str">
        <f t="shared" si="77"/>
        <v>Y</v>
      </c>
      <c r="AU85" t="str">
        <f t="shared" si="81"/>
        <v>N</v>
      </c>
      <c r="AV85" t="str">
        <f t="shared" si="81"/>
        <v>N</v>
      </c>
      <c r="AW85" t="str">
        <f>""</f>
        <v/>
      </c>
      <c r="AX85" t="str">
        <f t="shared" si="65"/>
        <v>No</v>
      </c>
      <c r="AY85" t="str">
        <f>""</f>
        <v/>
      </c>
      <c r="AZ85" t="s">
        <v>12</v>
      </c>
      <c r="BA85" t="s">
        <v>110</v>
      </c>
      <c r="BB85" t="s">
        <v>110</v>
      </c>
    </row>
    <row r="86" spans="1:54">
      <c r="A86" s="7" t="str">
        <f t="shared" si="66"/>
        <v>PHKG5WK0150</v>
      </c>
      <c r="B86" s="8">
        <f t="shared" si="67"/>
        <v>43677.916666666664</v>
      </c>
      <c r="C86" t="str">
        <f t="shared" ref="C86:C149" si="84">"PHKG"</f>
        <v>PHKG</v>
      </c>
      <c r="D86" t="str">
        <f>"5WK"</f>
        <v>5WK</v>
      </c>
      <c r="E86" t="str">
        <f>"HAI TIE 89"</f>
        <v>HAI TIE 89</v>
      </c>
      <c r="F86" t="str">
        <f>""</f>
        <v/>
      </c>
      <c r="G86" t="str">
        <f t="shared" si="62"/>
        <v>OOCL</v>
      </c>
      <c r="H86" t="str">
        <f>""</f>
        <v/>
      </c>
      <c r="I86" t="str">
        <f>"048"</f>
        <v>048</v>
      </c>
      <c r="J86" t="str">
        <f>"S"</f>
        <v>S</v>
      </c>
      <c r="K86" t="str">
        <f>"2"</f>
        <v>2</v>
      </c>
      <c r="L86" t="str">
        <f>"HKG02"</f>
        <v>HKG02</v>
      </c>
      <c r="M86" t="str">
        <f>"HIT - Hongkong International Terminals"</f>
        <v>HIT - Hongkong International Terminals</v>
      </c>
      <c r="N86" t="str">
        <f t="shared" si="63"/>
        <v>HKG</v>
      </c>
      <c r="O86" t="str">
        <f>"1"</f>
        <v>1</v>
      </c>
      <c r="P86" t="str">
        <f>""</f>
        <v/>
      </c>
      <c r="Q86" t="str">
        <f>"0150"</f>
        <v>0150</v>
      </c>
      <c r="R86" t="str">
        <f>"0150"</f>
        <v>0150</v>
      </c>
      <c r="S86" t="str">
        <f>""</f>
        <v/>
      </c>
      <c r="T86" t="str">
        <f>"31 Jul 2019 19:00"</f>
        <v>31 Jul 2019 19:00</v>
      </c>
      <c r="U86" t="str">
        <f>"31 Jul 2019 23:00"</f>
        <v>31 Jul 2019 23:00</v>
      </c>
      <c r="V86" t="str">
        <f>"4h"</f>
        <v>4h</v>
      </c>
      <c r="W86" t="str">
        <f>"31 Jul 2019 19:00"</f>
        <v>31 Jul 2019 19:00</v>
      </c>
      <c r="X86" t="str">
        <f>""</f>
        <v/>
      </c>
      <c r="Y86" t="str">
        <f>"31 Jul 2019 23:00"</f>
        <v>31 Jul 2019 23:00</v>
      </c>
      <c r="Z86" t="str">
        <f>""</f>
        <v/>
      </c>
      <c r="AA86" t="str">
        <f>""</f>
        <v/>
      </c>
      <c r="AB86" t="str">
        <f t="shared" si="64"/>
        <v>NN</v>
      </c>
      <c r="AC86" t="str">
        <f t="shared" si="78"/>
        <v>LL</v>
      </c>
      <c r="AD86" t="str">
        <f t="shared" si="79"/>
        <v>0</v>
      </c>
      <c r="AE86" t="str">
        <f t="shared" si="72"/>
        <v>0</v>
      </c>
      <c r="AF86" t="str">
        <f>"31 Jul 2019 19:00"</f>
        <v>31 Jul 2019 19:00</v>
      </c>
      <c r="AG86" t="str">
        <f>"31 Jul 2019 19:00"</f>
        <v>31 Jul 2019 19:00</v>
      </c>
      <c r="AH86" t="str">
        <f>"31 Jul 2019 19:00"</f>
        <v>31 Jul 2019 19:00</v>
      </c>
      <c r="AI86" t="str">
        <f>"31 Jul 2019 19:00"</f>
        <v>31 Jul 2019 19:00</v>
      </c>
      <c r="AJ86" t="str">
        <f>"31 Jul 2019 19:00"</f>
        <v>31 Jul 2019 19:00</v>
      </c>
      <c r="AK86" t="str">
        <f t="shared" ref="AK86:AP86" si="85">"31 Jul 2019 22:00"</f>
        <v>31 Jul 2019 22:00</v>
      </c>
      <c r="AL86" t="str">
        <f t="shared" si="85"/>
        <v>31 Jul 2019 22:00</v>
      </c>
      <c r="AM86" t="str">
        <f t="shared" si="85"/>
        <v>31 Jul 2019 22:00</v>
      </c>
      <c r="AN86" t="str">
        <f t="shared" si="85"/>
        <v>31 Jul 2019 22:00</v>
      </c>
      <c r="AO86" t="str">
        <f t="shared" si="85"/>
        <v>31 Jul 2019 22:00</v>
      </c>
      <c r="AP86" t="str">
        <f t="shared" si="85"/>
        <v>31 Jul 2019 22:00</v>
      </c>
      <c r="AQ86" t="str">
        <f>"31 Jul 2019 19:00"</f>
        <v>31 Jul 2019 19:00</v>
      </c>
      <c r="AR86" t="str">
        <f t="shared" si="77"/>
        <v>Y</v>
      </c>
      <c r="AS86" t="str">
        <f t="shared" si="77"/>
        <v>Y</v>
      </c>
      <c r="AT86" t="str">
        <f t="shared" si="77"/>
        <v>Y</v>
      </c>
      <c r="AU86" t="str">
        <f t="shared" si="81"/>
        <v>N</v>
      </c>
      <c r="AV86" t="str">
        <f t="shared" si="81"/>
        <v>N</v>
      </c>
      <c r="AW86" t="str">
        <f>""</f>
        <v/>
      </c>
      <c r="AX86" t="str">
        <f t="shared" si="65"/>
        <v>No</v>
      </c>
      <c r="AY86" t="str">
        <f>""</f>
        <v/>
      </c>
      <c r="AZ86" t="s">
        <v>12</v>
      </c>
      <c r="BA86" t="s">
        <v>110</v>
      </c>
      <c r="BB86" t="s">
        <v>110</v>
      </c>
    </row>
    <row r="87" spans="1:54">
      <c r="A87" s="7" t="str">
        <f t="shared" si="66"/>
        <v>PHKG5WK0150</v>
      </c>
      <c r="B87" s="8" t="e">
        <f t="shared" si="67"/>
        <v>#VALUE!</v>
      </c>
      <c r="C87" t="str">
        <f t="shared" si="84"/>
        <v>PHKG</v>
      </c>
      <c r="D87" t="str">
        <f>"5WK"</f>
        <v>5WK</v>
      </c>
      <c r="E87" t="str">
        <f>"HAI TIE 89"</f>
        <v>HAI TIE 89</v>
      </c>
      <c r="F87" t="str">
        <f>""</f>
        <v/>
      </c>
      <c r="G87" t="str">
        <f t="shared" si="62"/>
        <v>OOCL</v>
      </c>
      <c r="H87" t="str">
        <f>""</f>
        <v/>
      </c>
      <c r="I87" t="str">
        <f>"048"</f>
        <v>048</v>
      </c>
      <c r="J87" t="str">
        <f>"S"</f>
        <v>S</v>
      </c>
      <c r="K87" t="str">
        <f>"3"</f>
        <v>3</v>
      </c>
      <c r="L87" t="str">
        <f>"HKG04"</f>
        <v>HKG04</v>
      </c>
      <c r="M87" t="str">
        <f>"Cosco - HIT Terminals (HK) Ltd"</f>
        <v>Cosco - HIT Terminals (HK) Ltd</v>
      </c>
      <c r="N87" t="str">
        <f t="shared" si="63"/>
        <v>HKG</v>
      </c>
      <c r="O87" t="str">
        <f>"2"</f>
        <v>2</v>
      </c>
      <c r="P87" t="str">
        <f>""</f>
        <v/>
      </c>
      <c r="Q87" t="str">
        <f>"0150"</f>
        <v>0150</v>
      </c>
      <c r="R87" t="str">
        <f>"0150"</f>
        <v>0150</v>
      </c>
      <c r="S87" t="str">
        <f>""</f>
        <v/>
      </c>
      <c r="T87" t="str">
        <f>"01 Aug 2019 06:00"</f>
        <v>01 Aug 2019 06:00</v>
      </c>
      <c r="U87" t="str">
        <f>"01 Aug 2019 10:00"</f>
        <v>01 Aug 2019 10:00</v>
      </c>
      <c r="V87" t="str">
        <f>"4h"</f>
        <v>4h</v>
      </c>
      <c r="W87" t="str">
        <f>"01 Aug 2019 06:00"</f>
        <v>01 Aug 2019 06:00</v>
      </c>
      <c r="X87" t="str">
        <f>""</f>
        <v/>
      </c>
      <c r="Y87" t="str">
        <f>"01 Aug 2019 10:00"</f>
        <v>01 Aug 2019 10:00</v>
      </c>
      <c r="Z87" t="str">
        <f>""</f>
        <v/>
      </c>
      <c r="AA87" t="str">
        <f>""</f>
        <v/>
      </c>
      <c r="AB87" t="str">
        <f t="shared" si="64"/>
        <v>NN</v>
      </c>
      <c r="AC87" t="str">
        <f t="shared" si="78"/>
        <v>LL</v>
      </c>
      <c r="AD87" t="str">
        <f t="shared" si="79"/>
        <v>0</v>
      </c>
      <c r="AE87" t="str">
        <f t="shared" si="72"/>
        <v>0</v>
      </c>
      <c r="AF87" t="str">
        <f>"01 Aug 2019 06:00"</f>
        <v>01 Aug 2019 06:00</v>
      </c>
      <c r="AG87" t="str">
        <f>"01 Aug 2019 06:00"</f>
        <v>01 Aug 2019 06:00</v>
      </c>
      <c r="AH87" t="str">
        <f>"01 Aug 2019 06:00"</f>
        <v>01 Aug 2019 06:00</v>
      </c>
      <c r="AI87" t="str">
        <f>"01 Aug 2019 06:00"</f>
        <v>01 Aug 2019 06:00</v>
      </c>
      <c r="AJ87" t="str">
        <f>"01 Aug 2019 06:00"</f>
        <v>01 Aug 2019 06:00</v>
      </c>
      <c r="AK87" t="str">
        <f>"01 Aug 2019 10:00"</f>
        <v>01 Aug 2019 10:00</v>
      </c>
      <c r="AL87" t="str">
        <f>"01 Aug 2019 10:00"</f>
        <v>01 Aug 2019 10:00</v>
      </c>
      <c r="AM87" t="str">
        <f>"01 Aug 2019 10:00"</f>
        <v>01 Aug 2019 10:00</v>
      </c>
      <c r="AN87" t="str">
        <f>"01 Aug 2019 10:00"</f>
        <v>01 Aug 2019 10:00</v>
      </c>
      <c r="AO87" t="str">
        <f>"01 Aug 2019 10:00"</f>
        <v>01 Aug 2019 10:00</v>
      </c>
      <c r="AP87" t="str">
        <f>""</f>
        <v/>
      </c>
      <c r="AQ87" t="str">
        <f>"01 Aug 2019 06:00"</f>
        <v>01 Aug 2019 06:00</v>
      </c>
      <c r="AR87" t="str">
        <f t="shared" si="77"/>
        <v>Y</v>
      </c>
      <c r="AS87" t="str">
        <f t="shared" si="77"/>
        <v>Y</v>
      </c>
      <c r="AT87" t="str">
        <f t="shared" si="77"/>
        <v>Y</v>
      </c>
      <c r="AU87" t="str">
        <f t="shared" si="81"/>
        <v>N</v>
      </c>
      <c r="AV87" t="str">
        <f t="shared" si="81"/>
        <v>N</v>
      </c>
      <c r="AW87" t="str">
        <f>""</f>
        <v/>
      </c>
      <c r="AX87" t="str">
        <f t="shared" si="65"/>
        <v>No</v>
      </c>
      <c r="AY87" t="str">
        <f>""</f>
        <v/>
      </c>
      <c r="AZ87" t="s">
        <v>12</v>
      </c>
      <c r="BA87" t="s">
        <v>110</v>
      </c>
      <c r="BB87" t="s">
        <v>110</v>
      </c>
    </row>
    <row r="88" spans="1:54">
      <c r="A88" s="7" t="str">
        <f t="shared" si="66"/>
        <v>PHKG6HM301N</v>
      </c>
      <c r="B88" s="8" t="e">
        <f t="shared" si="67"/>
        <v>#VALUE!</v>
      </c>
      <c r="C88" t="str">
        <f t="shared" si="84"/>
        <v>PHKG</v>
      </c>
      <c r="D88" t="str">
        <f>"6HM"</f>
        <v>6HM</v>
      </c>
      <c r="E88" t="str">
        <f>"SHI TAI 006"</f>
        <v>SHI TAI 006</v>
      </c>
      <c r="F88" t="str">
        <f>""</f>
        <v/>
      </c>
      <c r="G88" t="str">
        <f t="shared" si="62"/>
        <v>OOCL</v>
      </c>
      <c r="H88" t="str">
        <f>""</f>
        <v/>
      </c>
      <c r="I88" t="str">
        <f>"301"</f>
        <v>301</v>
      </c>
      <c r="J88" t="str">
        <f>"N"</f>
        <v>N</v>
      </c>
      <c r="K88" t="str">
        <f>"2"</f>
        <v>2</v>
      </c>
      <c r="L88" t="str">
        <f>"HKG01"</f>
        <v>HKG01</v>
      </c>
      <c r="M88" t="str">
        <f>"Modern Terminal Limited (MTL)"</f>
        <v>Modern Terminal Limited (MTL)</v>
      </c>
      <c r="N88" t="str">
        <f t="shared" si="63"/>
        <v>HKG</v>
      </c>
      <c r="O88" t="str">
        <f>"1"</f>
        <v>1</v>
      </c>
      <c r="P88" t="str">
        <f>""</f>
        <v/>
      </c>
      <c r="Q88" t="str">
        <f>"301N"</f>
        <v>301N</v>
      </c>
      <c r="R88" t="str">
        <f>"301N"</f>
        <v>301N</v>
      </c>
      <c r="S88" t="str">
        <f>""</f>
        <v/>
      </c>
      <c r="T88" t="str">
        <f>"31 Jul 2019 22:00"</f>
        <v>31 Jul 2019 22:00</v>
      </c>
      <c r="U88" t="str">
        <f>"31 Jul 2019 23:00"</f>
        <v>31 Jul 2019 23:00</v>
      </c>
      <c r="V88" t="str">
        <f>"1h"</f>
        <v>1h</v>
      </c>
      <c r="W88" t="str">
        <f>"31 Jul 2019 22:00"</f>
        <v>31 Jul 2019 22:00</v>
      </c>
      <c r="X88" t="str">
        <f>""</f>
        <v/>
      </c>
      <c r="Y88" t="str">
        <f>"31 Jul 2019 23:00"</f>
        <v>31 Jul 2019 23:00</v>
      </c>
      <c r="Z88" t="str">
        <f>""</f>
        <v/>
      </c>
      <c r="AA88" t="str">
        <f>""</f>
        <v/>
      </c>
      <c r="AB88" t="str">
        <f t="shared" si="64"/>
        <v>NN</v>
      </c>
      <c r="AC88" t="str">
        <f t="shared" si="78"/>
        <v>LL</v>
      </c>
      <c r="AD88" t="str">
        <f t="shared" si="79"/>
        <v>0</v>
      </c>
      <c r="AE88" t="str">
        <f t="shared" si="72"/>
        <v>0</v>
      </c>
      <c r="AF88" t="str">
        <f t="shared" ref="AF88:AO88" si="86">"31 Jul 2019 22:00"</f>
        <v>31 Jul 2019 22:00</v>
      </c>
      <c r="AG88" t="str">
        <f t="shared" si="86"/>
        <v>31 Jul 2019 22:00</v>
      </c>
      <c r="AH88" t="str">
        <f t="shared" si="86"/>
        <v>31 Jul 2019 22:00</v>
      </c>
      <c r="AI88" t="str">
        <f t="shared" si="86"/>
        <v>31 Jul 2019 22:00</v>
      </c>
      <c r="AJ88" t="str">
        <f t="shared" si="86"/>
        <v>31 Jul 2019 22:00</v>
      </c>
      <c r="AK88" t="str">
        <f t="shared" si="86"/>
        <v>31 Jul 2019 22:00</v>
      </c>
      <c r="AL88" t="str">
        <f t="shared" si="86"/>
        <v>31 Jul 2019 22:00</v>
      </c>
      <c r="AM88" t="str">
        <f t="shared" si="86"/>
        <v>31 Jul 2019 22:00</v>
      </c>
      <c r="AN88" t="str">
        <f t="shared" si="86"/>
        <v>31 Jul 2019 22:00</v>
      </c>
      <c r="AO88" t="str">
        <f t="shared" si="86"/>
        <v>31 Jul 2019 22:00</v>
      </c>
      <c r="AP88" t="str">
        <f>""</f>
        <v/>
      </c>
      <c r="AQ88" t="str">
        <f>"31 Jul 2019 22:00"</f>
        <v>31 Jul 2019 22:00</v>
      </c>
      <c r="AR88" t="str">
        <f t="shared" si="77"/>
        <v>Y</v>
      </c>
      <c r="AS88" t="str">
        <f t="shared" si="77"/>
        <v>Y</v>
      </c>
      <c r="AT88" t="str">
        <f t="shared" si="77"/>
        <v>Y</v>
      </c>
      <c r="AU88" t="str">
        <f t="shared" si="81"/>
        <v>N</v>
      </c>
      <c r="AV88" t="str">
        <f t="shared" si="81"/>
        <v>N</v>
      </c>
      <c r="AW88" t="str">
        <f>""</f>
        <v/>
      </c>
      <c r="AX88" t="str">
        <f t="shared" si="65"/>
        <v>No</v>
      </c>
      <c r="AY88" t="str">
        <f>""</f>
        <v/>
      </c>
      <c r="AZ88" t="s">
        <v>12</v>
      </c>
      <c r="BA88" t="s">
        <v>110</v>
      </c>
      <c r="BB88" t="s">
        <v>110</v>
      </c>
    </row>
    <row r="89" spans="1:54">
      <c r="A89" s="7" t="str">
        <f t="shared" si="66"/>
        <v>PHKG6HM301N</v>
      </c>
      <c r="B89" s="8" t="e">
        <f t="shared" si="67"/>
        <v>#VALUE!</v>
      </c>
      <c r="C89" t="str">
        <f t="shared" si="84"/>
        <v>PHKG</v>
      </c>
      <c r="D89" t="str">
        <f>"6HM"</f>
        <v>6HM</v>
      </c>
      <c r="E89" t="str">
        <f>"SHI TAI 006"</f>
        <v>SHI TAI 006</v>
      </c>
      <c r="F89" t="str">
        <f>""</f>
        <v/>
      </c>
      <c r="G89" t="str">
        <f t="shared" si="62"/>
        <v>OOCL</v>
      </c>
      <c r="H89" t="str">
        <f>""</f>
        <v/>
      </c>
      <c r="I89" t="str">
        <f>"301"</f>
        <v>301</v>
      </c>
      <c r="J89" t="str">
        <f>"N"</f>
        <v>N</v>
      </c>
      <c r="K89" t="str">
        <f>"3"</f>
        <v>3</v>
      </c>
      <c r="L89" t="str">
        <f>"HKG02"</f>
        <v>HKG02</v>
      </c>
      <c r="M89" t="str">
        <f>"HIT - Hongkong International Terminals"</f>
        <v>HIT - Hongkong International Terminals</v>
      </c>
      <c r="N89" t="str">
        <f t="shared" si="63"/>
        <v>HKG</v>
      </c>
      <c r="O89" t="str">
        <f>"2"</f>
        <v>2</v>
      </c>
      <c r="P89" t="str">
        <f>""</f>
        <v/>
      </c>
      <c r="Q89" t="str">
        <f>"301N"</f>
        <v>301N</v>
      </c>
      <c r="R89" t="str">
        <f>"301N"</f>
        <v>301N</v>
      </c>
      <c r="S89" t="str">
        <f>""</f>
        <v/>
      </c>
      <c r="T89" t="str">
        <f>"01 Aug 2019 06:00"</f>
        <v>01 Aug 2019 06:00</v>
      </c>
      <c r="U89" t="str">
        <f>"01 Aug 2019 07:00"</f>
        <v>01 Aug 2019 07:00</v>
      </c>
      <c r="V89" t="str">
        <f>"1h"</f>
        <v>1h</v>
      </c>
      <c r="W89" t="str">
        <f>"01 Aug 2019 06:00"</f>
        <v>01 Aug 2019 06:00</v>
      </c>
      <c r="X89" t="str">
        <f>""</f>
        <v/>
      </c>
      <c r="Y89" t="str">
        <f>"01 Aug 2019 07:00"</f>
        <v>01 Aug 2019 07:00</v>
      </c>
      <c r="Z89" t="str">
        <f>""</f>
        <v/>
      </c>
      <c r="AA89" t="str">
        <f>""</f>
        <v/>
      </c>
      <c r="AB89" t="str">
        <f t="shared" si="64"/>
        <v>NN</v>
      </c>
      <c r="AC89" t="str">
        <f t="shared" si="78"/>
        <v>LL</v>
      </c>
      <c r="AD89" t="str">
        <f t="shared" si="79"/>
        <v>0</v>
      </c>
      <c r="AE89" t="str">
        <f t="shared" si="79"/>
        <v>0</v>
      </c>
      <c r="AF89" t="str">
        <f>"01 Aug 2019 06:00"</f>
        <v>01 Aug 2019 06:00</v>
      </c>
      <c r="AG89" t="str">
        <f>"01 Aug 2019 06:00"</f>
        <v>01 Aug 2019 06:00</v>
      </c>
      <c r="AH89" t="str">
        <f>"01 Aug 2019 06:00"</f>
        <v>01 Aug 2019 06:00</v>
      </c>
      <c r="AI89" t="str">
        <f>"01 Aug 2019 06:00"</f>
        <v>01 Aug 2019 06:00</v>
      </c>
      <c r="AJ89" t="str">
        <f>"01 Aug 2019 06:00"</f>
        <v>01 Aug 2019 06:00</v>
      </c>
      <c r="AK89" t="str">
        <f>"01 Aug 2019 05:00"</f>
        <v>01 Aug 2019 05:00</v>
      </c>
      <c r="AL89" t="str">
        <f>"01 Aug 2019 05:00"</f>
        <v>01 Aug 2019 05:00</v>
      </c>
      <c r="AM89" t="str">
        <f>"01 Aug 2019 05:00"</f>
        <v>01 Aug 2019 05:00</v>
      </c>
      <c r="AN89" t="str">
        <f>"01 Aug 2019 05:00"</f>
        <v>01 Aug 2019 05:00</v>
      </c>
      <c r="AO89" t="str">
        <f>"01 Aug 2019 05:00"</f>
        <v>01 Aug 2019 05:00</v>
      </c>
      <c r="AP89" t="str">
        <f>""</f>
        <v/>
      </c>
      <c r="AQ89" t="str">
        <f>"01 Aug 2019 06:00"</f>
        <v>01 Aug 2019 06:00</v>
      </c>
      <c r="AR89" t="str">
        <f t="shared" si="77"/>
        <v>Y</v>
      </c>
      <c r="AS89" t="str">
        <f t="shared" si="77"/>
        <v>Y</v>
      </c>
      <c r="AT89" t="str">
        <f t="shared" si="77"/>
        <v>Y</v>
      </c>
      <c r="AU89" t="str">
        <f t="shared" si="81"/>
        <v>N</v>
      </c>
      <c r="AV89" t="str">
        <f t="shared" si="81"/>
        <v>N</v>
      </c>
      <c r="AW89" t="str">
        <f>""</f>
        <v/>
      </c>
      <c r="AX89" t="str">
        <f t="shared" si="65"/>
        <v>No</v>
      </c>
      <c r="AY89" t="str">
        <f>""</f>
        <v/>
      </c>
      <c r="AZ89" t="s">
        <v>12</v>
      </c>
      <c r="BA89" t="s">
        <v>110</v>
      </c>
      <c r="BB89" t="s">
        <v>110</v>
      </c>
    </row>
    <row r="90" spans="1:54">
      <c r="A90" s="7" t="str">
        <f t="shared" si="66"/>
        <v>PHKG8UL137N</v>
      </c>
      <c r="B90" s="8">
        <f t="shared" si="67"/>
        <v>43676.958333333336</v>
      </c>
      <c r="C90" t="str">
        <f t="shared" si="84"/>
        <v>PHKG</v>
      </c>
      <c r="D90" t="str">
        <f>"8UL"</f>
        <v>8UL</v>
      </c>
      <c r="E90" t="str">
        <f>"HUI YUE 007"</f>
        <v>HUI YUE 007</v>
      </c>
      <c r="F90" t="str">
        <f>""</f>
        <v/>
      </c>
      <c r="G90" t="str">
        <f t="shared" si="62"/>
        <v>OOCL</v>
      </c>
      <c r="H90" t="str">
        <f>""</f>
        <v/>
      </c>
      <c r="I90" t="str">
        <f>"137"</f>
        <v>137</v>
      </c>
      <c r="J90" t="str">
        <f>"N"</f>
        <v>N</v>
      </c>
      <c r="K90" t="str">
        <f>"1"</f>
        <v>1</v>
      </c>
      <c r="L90" t="str">
        <f>"HKG04"</f>
        <v>HKG04</v>
      </c>
      <c r="M90" t="str">
        <f>"Cosco - HIT Terminals (HK) Ltd"</f>
        <v>Cosco - HIT Terminals (HK) Ltd</v>
      </c>
      <c r="N90" t="str">
        <f t="shared" si="63"/>
        <v>HKG</v>
      </c>
      <c r="O90" t="str">
        <f>"1"</f>
        <v>1</v>
      </c>
      <c r="P90" t="str">
        <f>""</f>
        <v/>
      </c>
      <c r="Q90" t="str">
        <f>"137N"</f>
        <v>137N</v>
      </c>
      <c r="R90" t="str">
        <f>"137N"</f>
        <v>137N</v>
      </c>
      <c r="S90" t="str">
        <f>""</f>
        <v/>
      </c>
      <c r="T90" t="str">
        <f>"31 Jul 2019 21:00"</f>
        <v>31 Jul 2019 21:00</v>
      </c>
      <c r="U90" t="str">
        <f>"31 Jul 2019 23:00"</f>
        <v>31 Jul 2019 23:00</v>
      </c>
      <c r="V90" t="str">
        <f>"2h"</f>
        <v>2h</v>
      </c>
      <c r="W90" t="str">
        <f>"31 Jul 2019 21:00"</f>
        <v>31 Jul 2019 21:00</v>
      </c>
      <c r="X90" t="str">
        <f>""</f>
        <v/>
      </c>
      <c r="Y90" t="str">
        <f>"31 Jul 2019 23:00"</f>
        <v>31 Jul 2019 23:00</v>
      </c>
      <c r="Z90" t="str">
        <f>""</f>
        <v/>
      </c>
      <c r="AA90" t="str">
        <f>""</f>
        <v/>
      </c>
      <c r="AB90" t="str">
        <f t="shared" si="64"/>
        <v>NN</v>
      </c>
      <c r="AC90" t="str">
        <f t="shared" si="78"/>
        <v>LL</v>
      </c>
      <c r="AD90" t="str">
        <f t="shared" si="79"/>
        <v>0</v>
      </c>
      <c r="AE90" t="str">
        <f t="shared" si="79"/>
        <v>0</v>
      </c>
      <c r="AF90" t="str">
        <f>"31 Jul 2019 21:00"</f>
        <v>31 Jul 2019 21:00</v>
      </c>
      <c r="AG90" t="str">
        <f>"31 Jul 2019 21:00"</f>
        <v>31 Jul 2019 21:00</v>
      </c>
      <c r="AH90" t="str">
        <f>"31 Jul 2019 21:00"</f>
        <v>31 Jul 2019 21:00</v>
      </c>
      <c r="AI90" t="str">
        <f>"31 Jul 2019 21:00"</f>
        <v>31 Jul 2019 21:00</v>
      </c>
      <c r="AJ90" t="str">
        <f>"31 Jul 2019 21:00"</f>
        <v>31 Jul 2019 21:00</v>
      </c>
      <c r="AK90" t="str">
        <f t="shared" ref="AK90:AP90" si="87">"30 Jul 2019 23:00"</f>
        <v>30 Jul 2019 23:00</v>
      </c>
      <c r="AL90" t="str">
        <f t="shared" si="87"/>
        <v>30 Jul 2019 23:00</v>
      </c>
      <c r="AM90" t="str">
        <f t="shared" si="87"/>
        <v>30 Jul 2019 23:00</v>
      </c>
      <c r="AN90" t="str">
        <f t="shared" si="87"/>
        <v>30 Jul 2019 23:00</v>
      </c>
      <c r="AO90" t="str">
        <f t="shared" si="87"/>
        <v>30 Jul 2019 23:00</v>
      </c>
      <c r="AP90" t="str">
        <f t="shared" si="87"/>
        <v>30 Jul 2019 23:00</v>
      </c>
      <c r="AQ90" t="str">
        <f>"31 Jul 2019 21:00"</f>
        <v>31 Jul 2019 21:00</v>
      </c>
      <c r="AR90" t="str">
        <f t="shared" si="77"/>
        <v>Y</v>
      </c>
      <c r="AS90" t="str">
        <f t="shared" si="77"/>
        <v>Y</v>
      </c>
      <c r="AT90" t="str">
        <f t="shared" si="77"/>
        <v>Y</v>
      </c>
      <c r="AU90" t="str">
        <f t="shared" si="81"/>
        <v>N</v>
      </c>
      <c r="AV90" t="str">
        <f t="shared" si="81"/>
        <v>N</v>
      </c>
      <c r="AW90" t="str">
        <f>""</f>
        <v/>
      </c>
      <c r="AX90" t="str">
        <f t="shared" si="65"/>
        <v>No</v>
      </c>
      <c r="AY90" t="str">
        <f>""</f>
        <v/>
      </c>
      <c r="AZ90" t="s">
        <v>12</v>
      </c>
      <c r="BA90" t="s">
        <v>110</v>
      </c>
      <c r="BB90" t="s">
        <v>110</v>
      </c>
    </row>
    <row r="91" spans="1:54">
      <c r="A91" s="7" t="str">
        <f t="shared" si="66"/>
        <v>PHKG8WF061S</v>
      </c>
      <c r="B91" s="8" t="e">
        <f t="shared" si="67"/>
        <v>#VALUE!</v>
      </c>
      <c r="C91" t="str">
        <f t="shared" si="84"/>
        <v>PHKG</v>
      </c>
      <c r="D91" t="str">
        <f>"8WF"</f>
        <v>8WF</v>
      </c>
      <c r="E91" t="str">
        <f>"HUI JIN QIAO 299"</f>
        <v>HUI JIN QIAO 299</v>
      </c>
      <c r="F91" t="str">
        <f>""</f>
        <v/>
      </c>
      <c r="G91" t="str">
        <f t="shared" si="62"/>
        <v>OOCL</v>
      </c>
      <c r="H91" t="str">
        <f>""</f>
        <v/>
      </c>
      <c r="I91" t="str">
        <f>"061"</f>
        <v>061</v>
      </c>
      <c r="J91" t="str">
        <f>"S"</f>
        <v>S</v>
      </c>
      <c r="K91" t="str">
        <f>"2"</f>
        <v>2</v>
      </c>
      <c r="L91" t="str">
        <f>"HKG02"</f>
        <v>HKG02</v>
      </c>
      <c r="M91" t="str">
        <f>"HIT - Hongkong International Terminals"</f>
        <v>HIT - Hongkong International Terminals</v>
      </c>
      <c r="N91" t="str">
        <f t="shared" si="63"/>
        <v>HKG</v>
      </c>
      <c r="O91" t="str">
        <f>"1"</f>
        <v>1</v>
      </c>
      <c r="P91" t="str">
        <f>""</f>
        <v/>
      </c>
      <c r="Q91" t="str">
        <f>"061S"</f>
        <v>061S</v>
      </c>
      <c r="R91" t="str">
        <f>"061S"</f>
        <v>061S</v>
      </c>
      <c r="S91" t="str">
        <f>""</f>
        <v/>
      </c>
      <c r="T91" t="str">
        <f>"31 Jul 2019 22:00"</f>
        <v>31 Jul 2019 22:00</v>
      </c>
      <c r="U91" t="str">
        <f>"31 Jul 2019 23:00"</f>
        <v>31 Jul 2019 23:00</v>
      </c>
      <c r="V91" t="str">
        <f>"1h"</f>
        <v>1h</v>
      </c>
      <c r="W91" t="str">
        <f>"31 Jul 2019 22:00"</f>
        <v>31 Jul 2019 22:00</v>
      </c>
      <c r="X91" t="str">
        <f>""</f>
        <v/>
      </c>
      <c r="Y91" t="str">
        <f>"31 Jul 2019 23:00"</f>
        <v>31 Jul 2019 23:00</v>
      </c>
      <c r="Z91" t="str">
        <f>""</f>
        <v/>
      </c>
      <c r="AA91" t="str">
        <f>""</f>
        <v/>
      </c>
      <c r="AB91" t="str">
        <f t="shared" si="64"/>
        <v>NN</v>
      </c>
      <c r="AC91" t="str">
        <f t="shared" si="78"/>
        <v>LL</v>
      </c>
      <c r="AD91" t="str">
        <f t="shared" si="79"/>
        <v>0</v>
      </c>
      <c r="AE91" t="str">
        <f t="shared" si="79"/>
        <v>0</v>
      </c>
      <c r="AF91" t="str">
        <f>"31 Jul 2019 22:00"</f>
        <v>31 Jul 2019 22:00</v>
      </c>
      <c r="AG91" t="str">
        <f>"31 Jul 2019 22:00"</f>
        <v>31 Jul 2019 22:00</v>
      </c>
      <c r="AH91" t="str">
        <f>"31 Jul 2019 22:00"</f>
        <v>31 Jul 2019 22:00</v>
      </c>
      <c r="AI91" t="str">
        <f>"31 Jul 2019 22:00"</f>
        <v>31 Jul 2019 22:00</v>
      </c>
      <c r="AJ91" t="str">
        <f>"31 Jul 2019 22:00"</f>
        <v>31 Jul 2019 22:00</v>
      </c>
      <c r="AK91" t="str">
        <f>"31 Jul 2019 21:00"</f>
        <v>31 Jul 2019 21:00</v>
      </c>
      <c r="AL91" t="str">
        <f>"31 Jul 2019 21:00"</f>
        <v>31 Jul 2019 21:00</v>
      </c>
      <c r="AM91" t="str">
        <f>"31 Jul 2019 21:00"</f>
        <v>31 Jul 2019 21:00</v>
      </c>
      <c r="AN91" t="str">
        <f>"31 Jul 2019 21:00"</f>
        <v>31 Jul 2019 21:00</v>
      </c>
      <c r="AO91" t="str">
        <f>"31 Jul 2019 21:00"</f>
        <v>31 Jul 2019 21:00</v>
      </c>
      <c r="AP91" t="str">
        <f>""</f>
        <v/>
      </c>
      <c r="AQ91" t="str">
        <f>"31 Jul 2019 22:00"</f>
        <v>31 Jul 2019 22:00</v>
      </c>
      <c r="AR91" t="str">
        <f t="shared" si="77"/>
        <v>Y</v>
      </c>
      <c r="AS91" t="str">
        <f t="shared" si="77"/>
        <v>Y</v>
      </c>
      <c r="AT91" t="str">
        <f t="shared" si="77"/>
        <v>Y</v>
      </c>
      <c r="AU91" t="str">
        <f t="shared" si="81"/>
        <v>N</v>
      </c>
      <c r="AV91" t="str">
        <f t="shared" si="81"/>
        <v>N</v>
      </c>
      <c r="AW91" t="str">
        <f>""</f>
        <v/>
      </c>
      <c r="AX91" t="str">
        <f t="shared" si="65"/>
        <v>No</v>
      </c>
      <c r="AY91" t="str">
        <f>""</f>
        <v/>
      </c>
      <c r="AZ91" t="s">
        <v>12</v>
      </c>
      <c r="BA91" t="s">
        <v>110</v>
      </c>
      <c r="BB91" t="s">
        <v>110</v>
      </c>
    </row>
    <row r="92" spans="1:54">
      <c r="A92" s="7" t="str">
        <f t="shared" si="66"/>
        <v>PHKG8WF061S</v>
      </c>
      <c r="B92" s="8" t="e">
        <f t="shared" si="67"/>
        <v>#VALUE!</v>
      </c>
      <c r="C92" t="str">
        <f t="shared" si="84"/>
        <v>PHKG</v>
      </c>
      <c r="D92" t="str">
        <f>"8WF"</f>
        <v>8WF</v>
      </c>
      <c r="E92" t="str">
        <f>"HUI JIN QIAO 299"</f>
        <v>HUI JIN QIAO 299</v>
      </c>
      <c r="F92" t="str">
        <f>""</f>
        <v/>
      </c>
      <c r="G92" t="str">
        <f t="shared" si="62"/>
        <v>OOCL</v>
      </c>
      <c r="H92" t="str">
        <f>""</f>
        <v/>
      </c>
      <c r="I92" t="str">
        <f>"061"</f>
        <v>061</v>
      </c>
      <c r="J92" t="str">
        <f>"S"</f>
        <v>S</v>
      </c>
      <c r="K92" t="str">
        <f>"3"</f>
        <v>3</v>
      </c>
      <c r="L92" t="str">
        <f>"HKG01"</f>
        <v>HKG01</v>
      </c>
      <c r="M92" t="str">
        <f>"Modern Terminal Limited (MTL)"</f>
        <v>Modern Terminal Limited (MTL)</v>
      </c>
      <c r="N92" t="str">
        <f t="shared" si="63"/>
        <v>HKG</v>
      </c>
      <c r="O92" t="str">
        <f>"2"</f>
        <v>2</v>
      </c>
      <c r="P92" t="str">
        <f>""</f>
        <v/>
      </c>
      <c r="Q92" t="str">
        <f>"061S"</f>
        <v>061S</v>
      </c>
      <c r="R92" t="str">
        <f>"061S"</f>
        <v>061S</v>
      </c>
      <c r="S92" t="str">
        <f>""</f>
        <v/>
      </c>
      <c r="T92" t="str">
        <f>"01 Aug 2019 02:00"</f>
        <v>01 Aug 2019 02:00</v>
      </c>
      <c r="U92" t="str">
        <f>"01 Aug 2019 03:00"</f>
        <v>01 Aug 2019 03:00</v>
      </c>
      <c r="V92" t="str">
        <f>"1h"</f>
        <v>1h</v>
      </c>
      <c r="W92" t="str">
        <f>"01 Aug 2019 02:00"</f>
        <v>01 Aug 2019 02:00</v>
      </c>
      <c r="X92" t="str">
        <f>""</f>
        <v/>
      </c>
      <c r="Y92" t="str">
        <f>"01 Aug 2019 03:00"</f>
        <v>01 Aug 2019 03:00</v>
      </c>
      <c r="Z92" t="str">
        <f>""</f>
        <v/>
      </c>
      <c r="AA92" t="str">
        <f>""</f>
        <v/>
      </c>
      <c r="AB92" t="str">
        <f t="shared" si="64"/>
        <v>NN</v>
      </c>
      <c r="AC92" t="str">
        <f t="shared" si="78"/>
        <v>LL</v>
      </c>
      <c r="AD92" t="str">
        <f t="shared" si="79"/>
        <v>0</v>
      </c>
      <c r="AE92" t="str">
        <f t="shared" si="79"/>
        <v>0</v>
      </c>
      <c r="AF92" t="str">
        <f>"01 Aug 2019 02:00"</f>
        <v>01 Aug 2019 02:00</v>
      </c>
      <c r="AG92" t="str">
        <f>"01 Aug 2019 02:00"</f>
        <v>01 Aug 2019 02:00</v>
      </c>
      <c r="AH92" t="str">
        <f>"01 Aug 2019 02:00"</f>
        <v>01 Aug 2019 02:00</v>
      </c>
      <c r="AI92" t="str">
        <f>"01 Aug 2019 02:00"</f>
        <v>01 Aug 2019 02:00</v>
      </c>
      <c r="AJ92" t="str">
        <f>"01 Aug 2019 02:00"</f>
        <v>01 Aug 2019 02:00</v>
      </c>
      <c r="AK92" t="str">
        <f>"01 Aug 2019 01:00"</f>
        <v>01 Aug 2019 01:00</v>
      </c>
      <c r="AL92" t="str">
        <f>"01 Aug 2019 01:00"</f>
        <v>01 Aug 2019 01:00</v>
      </c>
      <c r="AM92" t="str">
        <f>"01 Aug 2019 01:00"</f>
        <v>01 Aug 2019 01:00</v>
      </c>
      <c r="AN92" t="str">
        <f>"01 Aug 2019 01:00"</f>
        <v>01 Aug 2019 01:00</v>
      </c>
      <c r="AO92" t="str">
        <f>"01 Aug 2019 01:00"</f>
        <v>01 Aug 2019 01:00</v>
      </c>
      <c r="AP92" t="str">
        <f>""</f>
        <v/>
      </c>
      <c r="AQ92" t="str">
        <f>"01 Aug 2019 02:00"</f>
        <v>01 Aug 2019 02:00</v>
      </c>
      <c r="AR92" t="str">
        <f t="shared" si="77"/>
        <v>Y</v>
      </c>
      <c r="AS92" t="str">
        <f t="shared" si="77"/>
        <v>Y</v>
      </c>
      <c r="AT92" t="str">
        <f t="shared" si="77"/>
        <v>Y</v>
      </c>
      <c r="AU92" t="str">
        <f t="shared" si="81"/>
        <v>N</v>
      </c>
      <c r="AV92" t="str">
        <f t="shared" si="81"/>
        <v>N</v>
      </c>
      <c r="AW92" t="str">
        <f>""</f>
        <v/>
      </c>
      <c r="AX92" t="str">
        <f t="shared" si="65"/>
        <v>No</v>
      </c>
      <c r="AY92" t="str">
        <f>""</f>
        <v/>
      </c>
      <c r="AZ92" t="s">
        <v>12</v>
      </c>
      <c r="BA92" t="s">
        <v>110</v>
      </c>
      <c r="BB92" t="s">
        <v>110</v>
      </c>
    </row>
    <row r="93" spans="1:54">
      <c r="A93" s="7" t="str">
        <f t="shared" si="66"/>
        <v>PHKG9QR430N</v>
      </c>
      <c r="B93" s="8" t="e">
        <f t="shared" si="67"/>
        <v>#VALUE!</v>
      </c>
      <c r="C93" t="str">
        <f t="shared" si="84"/>
        <v>PHKG</v>
      </c>
      <c r="D93" t="str">
        <f>"9QR"</f>
        <v>9QR</v>
      </c>
      <c r="E93" t="str">
        <f>"SUI SHUN FENG JI 282"</f>
        <v>SUI SHUN FENG JI 282</v>
      </c>
      <c r="F93" t="str">
        <f>""</f>
        <v/>
      </c>
      <c r="G93" t="str">
        <f t="shared" si="62"/>
        <v>OOCL</v>
      </c>
      <c r="H93" t="str">
        <f>""</f>
        <v/>
      </c>
      <c r="I93" t="str">
        <f>"429"</f>
        <v>429</v>
      </c>
      <c r="J93" t="str">
        <f>"S"</f>
        <v>S</v>
      </c>
      <c r="K93" t="str">
        <f>"2"</f>
        <v>2</v>
      </c>
      <c r="L93" t="str">
        <f>"HKG02"</f>
        <v>HKG02</v>
      </c>
      <c r="M93" t="str">
        <f>"HIT - Hongkong International Terminals"</f>
        <v>HIT - Hongkong International Terminals</v>
      </c>
      <c r="N93" t="str">
        <f t="shared" si="63"/>
        <v>HKG</v>
      </c>
      <c r="O93" t="str">
        <f t="shared" ref="O93:O101" si="88">"1"</f>
        <v>1</v>
      </c>
      <c r="P93" t="str">
        <f>""</f>
        <v/>
      </c>
      <c r="Q93" t="str">
        <f>"429S"</f>
        <v>429S</v>
      </c>
      <c r="R93" t="str">
        <f>"430N"</f>
        <v>430N</v>
      </c>
      <c r="S93" t="str">
        <f>""</f>
        <v/>
      </c>
      <c r="T93" t="str">
        <f>"31 Jul 2019 03:00"</f>
        <v>31 Jul 2019 03:00</v>
      </c>
      <c r="U93" t="str">
        <f>"31 Jul 2019 23:00"</f>
        <v>31 Jul 2019 23:00</v>
      </c>
      <c r="V93" t="str">
        <f>"20h"</f>
        <v>20h</v>
      </c>
      <c r="W93" t="str">
        <f>"31 Jul 2019 03:00"</f>
        <v>31 Jul 2019 03:00</v>
      </c>
      <c r="X93" t="str">
        <f>"31 Jul 2019 06:00"</f>
        <v>31 Jul 2019 06:00</v>
      </c>
      <c r="Y93" t="str">
        <f>"31 Jul 2019 23:00"</f>
        <v>31 Jul 2019 23:00</v>
      </c>
      <c r="Z93" t="str">
        <f>""</f>
        <v/>
      </c>
      <c r="AA93" t="str">
        <f>""</f>
        <v/>
      </c>
      <c r="AB93" t="str">
        <f t="shared" si="64"/>
        <v>NN</v>
      </c>
      <c r="AC93" t="str">
        <f>"AL"</f>
        <v>AL</v>
      </c>
      <c r="AD93" t="str">
        <f>"3"</f>
        <v>3</v>
      </c>
      <c r="AE93" t="str">
        <f t="shared" si="79"/>
        <v>0</v>
      </c>
      <c r="AF93" t="str">
        <f t="shared" ref="AF93:AJ94" si="89">"06 Aug 2019 22:00"</f>
        <v>06 Aug 2019 22:00</v>
      </c>
      <c r="AG93" t="str">
        <f t="shared" si="89"/>
        <v>06 Aug 2019 22:00</v>
      </c>
      <c r="AH93" t="str">
        <f t="shared" si="89"/>
        <v>06 Aug 2019 22:00</v>
      </c>
      <c r="AI93" t="str">
        <f t="shared" si="89"/>
        <v>06 Aug 2019 22:00</v>
      </c>
      <c r="AJ93" t="str">
        <f t="shared" si="89"/>
        <v>06 Aug 2019 22:00</v>
      </c>
      <c r="AK93" t="str">
        <f t="shared" ref="AK93:AO94" si="90">"31 Jul 2019 22:00"</f>
        <v>31 Jul 2019 22:00</v>
      </c>
      <c r="AL93" t="str">
        <f t="shared" si="90"/>
        <v>31 Jul 2019 22:00</v>
      </c>
      <c r="AM93" t="str">
        <f t="shared" si="90"/>
        <v>31 Jul 2019 22:00</v>
      </c>
      <c r="AN93" t="str">
        <f t="shared" si="90"/>
        <v>31 Jul 2019 22:00</v>
      </c>
      <c r="AO93" t="str">
        <f t="shared" si="90"/>
        <v>31 Jul 2019 22:00</v>
      </c>
      <c r="AP93" t="str">
        <f>""</f>
        <v/>
      </c>
      <c r="AQ93" t="str">
        <f>"31 Jul 2019 07:00"</f>
        <v>31 Jul 2019 07:00</v>
      </c>
      <c r="AR93" t="str">
        <f t="shared" si="77"/>
        <v>Y</v>
      </c>
      <c r="AS93" t="str">
        <f t="shared" si="77"/>
        <v>Y</v>
      </c>
      <c r="AT93" t="str">
        <f t="shared" si="77"/>
        <v>Y</v>
      </c>
      <c r="AU93" t="str">
        <f t="shared" si="81"/>
        <v>N</v>
      </c>
      <c r="AV93" t="str">
        <f t="shared" si="81"/>
        <v>N</v>
      </c>
      <c r="AW93" t="str">
        <f>""</f>
        <v/>
      </c>
      <c r="AX93" t="str">
        <f t="shared" si="65"/>
        <v>No</v>
      </c>
      <c r="AY93" t="str">
        <f>""</f>
        <v/>
      </c>
      <c r="AZ93" t="s">
        <v>12</v>
      </c>
      <c r="BA93" t="s">
        <v>110</v>
      </c>
      <c r="BB93" t="s">
        <v>110</v>
      </c>
    </row>
    <row r="94" spans="1:54">
      <c r="A94" s="7" t="str">
        <f t="shared" si="66"/>
        <v>PHKG9QR430N</v>
      </c>
      <c r="B94" s="8" t="e">
        <f t="shared" si="67"/>
        <v>#VALUE!</v>
      </c>
      <c r="C94" t="str">
        <f t="shared" si="84"/>
        <v>PHKG</v>
      </c>
      <c r="D94" t="str">
        <f>"9QR"</f>
        <v>9QR</v>
      </c>
      <c r="E94" t="str">
        <f>"SUI SHUN FENG JI 282"</f>
        <v>SUI SHUN FENG JI 282</v>
      </c>
      <c r="F94" t="str">
        <f>""</f>
        <v/>
      </c>
      <c r="G94" t="str">
        <f t="shared" si="62"/>
        <v>OOCL</v>
      </c>
      <c r="H94" t="str">
        <f>""</f>
        <v/>
      </c>
      <c r="I94" t="str">
        <f>"430"</f>
        <v>430</v>
      </c>
      <c r="J94" t="str">
        <f>"N"</f>
        <v>N</v>
      </c>
      <c r="K94" t="str">
        <f>"1"</f>
        <v>1</v>
      </c>
      <c r="L94" t="str">
        <f>"HKG02"</f>
        <v>HKG02</v>
      </c>
      <c r="M94" t="str">
        <f>"HIT - Hongkong International Terminals"</f>
        <v>HIT - Hongkong International Terminals</v>
      </c>
      <c r="N94" t="str">
        <f t="shared" si="63"/>
        <v>HKG</v>
      </c>
      <c r="O94" t="str">
        <f t="shared" si="88"/>
        <v>1</v>
      </c>
      <c r="P94" t="str">
        <f>""</f>
        <v/>
      </c>
      <c r="Q94" t="str">
        <f>"429S"</f>
        <v>429S</v>
      </c>
      <c r="R94" t="str">
        <f>"430N"</f>
        <v>430N</v>
      </c>
      <c r="S94" t="str">
        <f>""</f>
        <v/>
      </c>
      <c r="T94" t="str">
        <f>"31 Jul 2019 03:00"</f>
        <v>31 Jul 2019 03:00</v>
      </c>
      <c r="U94" t="str">
        <f>"31 Jul 2019 23:00"</f>
        <v>31 Jul 2019 23:00</v>
      </c>
      <c r="V94" t="str">
        <f>"20h"</f>
        <v>20h</v>
      </c>
      <c r="W94" t="str">
        <f>"31 Jul 2019 03:00"</f>
        <v>31 Jul 2019 03:00</v>
      </c>
      <c r="X94" t="str">
        <f>"31 Jul 2019 06:00"</f>
        <v>31 Jul 2019 06:00</v>
      </c>
      <c r="Y94" t="str">
        <f>"31 Jul 2019 23:00"</f>
        <v>31 Jul 2019 23:00</v>
      </c>
      <c r="Z94" t="str">
        <f>""</f>
        <v/>
      </c>
      <c r="AA94" t="str">
        <f>""</f>
        <v/>
      </c>
      <c r="AB94" t="str">
        <f t="shared" si="64"/>
        <v>NN</v>
      </c>
      <c r="AC94" t="str">
        <f>"AL"</f>
        <v>AL</v>
      </c>
      <c r="AD94" t="str">
        <f>"3"</f>
        <v>3</v>
      </c>
      <c r="AE94" t="str">
        <f t="shared" si="79"/>
        <v>0</v>
      </c>
      <c r="AF94" t="str">
        <f t="shared" si="89"/>
        <v>06 Aug 2019 22:00</v>
      </c>
      <c r="AG94" t="str">
        <f t="shared" si="89"/>
        <v>06 Aug 2019 22:00</v>
      </c>
      <c r="AH94" t="str">
        <f t="shared" si="89"/>
        <v>06 Aug 2019 22:00</v>
      </c>
      <c r="AI94" t="str">
        <f t="shared" si="89"/>
        <v>06 Aug 2019 22:00</v>
      </c>
      <c r="AJ94" t="str">
        <f t="shared" si="89"/>
        <v>06 Aug 2019 22:00</v>
      </c>
      <c r="AK94" t="str">
        <f t="shared" si="90"/>
        <v>31 Jul 2019 22:00</v>
      </c>
      <c r="AL94" t="str">
        <f t="shared" si="90"/>
        <v>31 Jul 2019 22:00</v>
      </c>
      <c r="AM94" t="str">
        <f t="shared" si="90"/>
        <v>31 Jul 2019 22:00</v>
      </c>
      <c r="AN94" t="str">
        <f t="shared" si="90"/>
        <v>31 Jul 2019 22:00</v>
      </c>
      <c r="AO94" t="str">
        <f t="shared" si="90"/>
        <v>31 Jul 2019 22:00</v>
      </c>
      <c r="AP94" t="str">
        <f>""</f>
        <v/>
      </c>
      <c r="AQ94" t="str">
        <f>"31 Jul 2019 07:00"</f>
        <v>31 Jul 2019 07:00</v>
      </c>
      <c r="AR94" t="str">
        <f t="shared" si="77"/>
        <v>Y</v>
      </c>
      <c r="AS94" t="str">
        <f t="shared" si="77"/>
        <v>Y</v>
      </c>
      <c r="AT94" t="str">
        <f t="shared" si="77"/>
        <v>Y</v>
      </c>
      <c r="AU94" t="str">
        <f t="shared" si="81"/>
        <v>N</v>
      </c>
      <c r="AV94" t="str">
        <f t="shared" si="81"/>
        <v>N</v>
      </c>
      <c r="AW94" t="str">
        <f>""</f>
        <v/>
      </c>
      <c r="AX94" t="str">
        <f t="shared" si="65"/>
        <v>No</v>
      </c>
      <c r="AY94" t="str">
        <f>""</f>
        <v/>
      </c>
      <c r="AZ94" t="s">
        <v>12</v>
      </c>
      <c r="BA94" t="s">
        <v>110</v>
      </c>
      <c r="BB94" t="s">
        <v>110</v>
      </c>
    </row>
    <row r="95" spans="1:54">
      <c r="A95" s="7" t="str">
        <f t="shared" si="66"/>
        <v>PHKG2GK190801N</v>
      </c>
      <c r="B95" s="8">
        <f t="shared" si="67"/>
        <v>43677.5</v>
      </c>
      <c r="C95" t="str">
        <f t="shared" si="84"/>
        <v>PHKG</v>
      </c>
      <c r="D95" t="str">
        <f>"2GK"</f>
        <v>2GK</v>
      </c>
      <c r="E95" t="str">
        <f>"HUI WAN 016"</f>
        <v>HUI WAN 016</v>
      </c>
      <c r="F95" t="str">
        <f>"USAS"</f>
        <v>USAS</v>
      </c>
      <c r="G95" t="str">
        <f t="shared" si="62"/>
        <v>OOCL</v>
      </c>
      <c r="H95" t="str">
        <f>""</f>
        <v/>
      </c>
      <c r="I95" t="str">
        <f>"237"</f>
        <v>237</v>
      </c>
      <c r="J95" t="str">
        <f>"N"</f>
        <v>N</v>
      </c>
      <c r="K95" t="str">
        <f>"1"</f>
        <v>1</v>
      </c>
      <c r="L95" t="str">
        <f>"HKG13"</f>
        <v>HKG13</v>
      </c>
      <c r="M95" t="str">
        <f>"River Trade Terminal Co., Ltd"</f>
        <v>River Trade Terminal Co., Ltd</v>
      </c>
      <c r="N95" t="str">
        <f t="shared" si="63"/>
        <v>HKG</v>
      </c>
      <c r="O95" t="str">
        <f t="shared" si="88"/>
        <v>1</v>
      </c>
      <c r="P95" t="str">
        <f>""</f>
        <v/>
      </c>
      <c r="Q95" t="str">
        <f>"190801N"</f>
        <v>190801N</v>
      </c>
      <c r="R95" t="str">
        <f>"190801N"</f>
        <v>190801N</v>
      </c>
      <c r="S95" t="str">
        <f>""</f>
        <v/>
      </c>
      <c r="T95" t="str">
        <f>"31 Jul 2019 23:00"</f>
        <v>31 Jul 2019 23:00</v>
      </c>
      <c r="U95" t="str">
        <f>"01 Aug 2019 00:00"</f>
        <v>01 Aug 2019 00:00</v>
      </c>
      <c r="V95" t="str">
        <f>"1h"</f>
        <v>1h</v>
      </c>
      <c r="W95" t="str">
        <f>"31 Jul 2019 23:00"</f>
        <v>31 Jul 2019 23:00</v>
      </c>
      <c r="X95" t="str">
        <f>""</f>
        <v/>
      </c>
      <c r="Y95" t="str">
        <f>"01 Aug 2019 00:00"</f>
        <v>01 Aug 2019 00:00</v>
      </c>
      <c r="Z95" t="str">
        <f>""</f>
        <v/>
      </c>
      <c r="AA95" t="str">
        <f>""</f>
        <v/>
      </c>
      <c r="AB95" t="str">
        <f t="shared" si="64"/>
        <v>NN</v>
      </c>
      <c r="AC95" t="str">
        <f t="shared" ref="AC95:AC135" si="91">"LL"</f>
        <v>LL</v>
      </c>
      <c r="AD95" t="str">
        <f t="shared" ref="AD95:AE142" si="92">"0"</f>
        <v>0</v>
      </c>
      <c r="AE95" t="str">
        <f t="shared" si="79"/>
        <v>0</v>
      </c>
      <c r="AF95" t="str">
        <f t="shared" ref="AF95:AJ96" si="93">"31 Jul 2019 23:00"</f>
        <v>31 Jul 2019 23:00</v>
      </c>
      <c r="AG95" t="str">
        <f t="shared" si="93"/>
        <v>31 Jul 2019 23:00</v>
      </c>
      <c r="AH95" t="str">
        <f t="shared" si="93"/>
        <v>31 Jul 2019 23:00</v>
      </c>
      <c r="AI95" t="str">
        <f t="shared" si="93"/>
        <v>31 Jul 2019 23:00</v>
      </c>
      <c r="AJ95" t="str">
        <f t="shared" si="93"/>
        <v>31 Jul 2019 23:00</v>
      </c>
      <c r="AK95" t="str">
        <f t="shared" ref="AK95:AP95" si="94">"31 Jul 2019 12:00"</f>
        <v>31 Jul 2019 12:00</v>
      </c>
      <c r="AL95" t="str">
        <f t="shared" si="94"/>
        <v>31 Jul 2019 12:00</v>
      </c>
      <c r="AM95" t="str">
        <f t="shared" si="94"/>
        <v>31 Jul 2019 12:00</v>
      </c>
      <c r="AN95" t="str">
        <f t="shared" si="94"/>
        <v>31 Jul 2019 12:00</v>
      </c>
      <c r="AO95" t="str">
        <f t="shared" si="94"/>
        <v>31 Jul 2019 12:00</v>
      </c>
      <c r="AP95" t="str">
        <f t="shared" si="94"/>
        <v>31 Jul 2019 12:00</v>
      </c>
      <c r="AQ95" t="str">
        <f>"31 Jul 2019 23:00"</f>
        <v>31 Jul 2019 23:00</v>
      </c>
      <c r="AR95" t="str">
        <f t="shared" si="77"/>
        <v>Y</v>
      </c>
      <c r="AS95" t="str">
        <f t="shared" si="77"/>
        <v>Y</v>
      </c>
      <c r="AT95" t="str">
        <f t="shared" si="77"/>
        <v>Y</v>
      </c>
      <c r="AU95" t="str">
        <f t="shared" si="81"/>
        <v>N</v>
      </c>
      <c r="AV95" t="str">
        <f t="shared" si="81"/>
        <v>N</v>
      </c>
      <c r="AW95" t="str">
        <f>""</f>
        <v/>
      </c>
      <c r="AX95" t="str">
        <f t="shared" si="65"/>
        <v>No</v>
      </c>
      <c r="AY95" t="str">
        <f>""</f>
        <v/>
      </c>
      <c r="AZ95" t="s">
        <v>12</v>
      </c>
      <c r="BA95" t="s">
        <v>110</v>
      </c>
      <c r="BB95" t="s">
        <v>110</v>
      </c>
    </row>
    <row r="96" spans="1:54">
      <c r="A96" s="7" t="str">
        <f t="shared" si="66"/>
        <v>PHKG4CZ503S</v>
      </c>
      <c r="B96" s="8" t="e">
        <f t="shared" si="67"/>
        <v>#VALUE!</v>
      </c>
      <c r="C96" t="str">
        <f t="shared" si="84"/>
        <v>PHKG</v>
      </c>
      <c r="D96" t="str">
        <f>"4CZ"</f>
        <v>4CZ</v>
      </c>
      <c r="E96" t="str">
        <f>"HUI JIN QIAO 189"</f>
        <v>HUI JIN QIAO 189</v>
      </c>
      <c r="F96" t="str">
        <f>""</f>
        <v/>
      </c>
      <c r="G96" t="str">
        <f t="shared" si="62"/>
        <v>OOCL</v>
      </c>
      <c r="H96" t="str">
        <f>""</f>
        <v/>
      </c>
      <c r="I96" t="str">
        <f>"503"</f>
        <v>503</v>
      </c>
      <c r="J96" t="str">
        <f t="shared" ref="J96:J103" si="95">"S"</f>
        <v>S</v>
      </c>
      <c r="K96" t="str">
        <f t="shared" ref="K96:K101" si="96">"2"</f>
        <v>2</v>
      </c>
      <c r="L96" t="str">
        <f t="shared" ref="L96:L101" si="97">"HKG02"</f>
        <v>HKG02</v>
      </c>
      <c r="M96" t="str">
        <f t="shared" ref="M96:M101" si="98">"HIT - Hongkong International Terminals"</f>
        <v>HIT - Hongkong International Terminals</v>
      </c>
      <c r="N96" t="str">
        <f t="shared" si="63"/>
        <v>HKG</v>
      </c>
      <c r="O96" t="str">
        <f t="shared" si="88"/>
        <v>1</v>
      </c>
      <c r="P96" t="str">
        <f>""</f>
        <v/>
      </c>
      <c r="Q96" t="str">
        <f>"503S"</f>
        <v>503S</v>
      </c>
      <c r="R96" t="str">
        <f>"503S"</f>
        <v>503S</v>
      </c>
      <c r="S96" t="str">
        <f>""</f>
        <v/>
      </c>
      <c r="T96" t="str">
        <f>"31 Jul 2019 23:00"</f>
        <v>31 Jul 2019 23:00</v>
      </c>
      <c r="U96" t="str">
        <f>"01 Aug 2019 01:00"</f>
        <v>01 Aug 2019 01:00</v>
      </c>
      <c r="V96" t="str">
        <f>"2h"</f>
        <v>2h</v>
      </c>
      <c r="W96" t="str">
        <f>"31 Jul 2019 23:00"</f>
        <v>31 Jul 2019 23:00</v>
      </c>
      <c r="X96" t="str">
        <f>""</f>
        <v/>
      </c>
      <c r="Y96" t="str">
        <f>"01 Aug 2019 01:00"</f>
        <v>01 Aug 2019 01:00</v>
      </c>
      <c r="Z96" t="str">
        <f>""</f>
        <v/>
      </c>
      <c r="AA96" t="str">
        <f>""</f>
        <v/>
      </c>
      <c r="AB96" t="str">
        <f t="shared" si="64"/>
        <v>NN</v>
      </c>
      <c r="AC96" t="str">
        <f t="shared" si="91"/>
        <v>LL</v>
      </c>
      <c r="AD96" t="str">
        <f t="shared" si="92"/>
        <v>0</v>
      </c>
      <c r="AE96" t="str">
        <f t="shared" si="92"/>
        <v>0</v>
      </c>
      <c r="AF96" t="str">
        <f t="shared" si="93"/>
        <v>31 Jul 2019 23:00</v>
      </c>
      <c r="AG96" t="str">
        <f t="shared" si="93"/>
        <v>31 Jul 2019 23:00</v>
      </c>
      <c r="AH96" t="str">
        <f t="shared" si="93"/>
        <v>31 Jul 2019 23:00</v>
      </c>
      <c r="AI96" t="str">
        <f t="shared" si="93"/>
        <v>31 Jul 2019 23:00</v>
      </c>
      <c r="AJ96" t="str">
        <f t="shared" si="93"/>
        <v>31 Jul 2019 23:00</v>
      </c>
      <c r="AK96" t="str">
        <f t="shared" ref="AK96:AO99" si="99">"01 Aug 2019 01:00"</f>
        <v>01 Aug 2019 01:00</v>
      </c>
      <c r="AL96" t="str">
        <f t="shared" si="99"/>
        <v>01 Aug 2019 01:00</v>
      </c>
      <c r="AM96" t="str">
        <f t="shared" si="99"/>
        <v>01 Aug 2019 01:00</v>
      </c>
      <c r="AN96" t="str">
        <f t="shared" si="99"/>
        <v>01 Aug 2019 01:00</v>
      </c>
      <c r="AO96" t="str">
        <f t="shared" si="99"/>
        <v>01 Aug 2019 01:00</v>
      </c>
      <c r="AP96" t="str">
        <f>""</f>
        <v/>
      </c>
      <c r="AQ96" t="str">
        <f>"31 Jul 2019 23:00"</f>
        <v>31 Jul 2019 23:00</v>
      </c>
      <c r="AR96" t="str">
        <f t="shared" si="77"/>
        <v>Y</v>
      </c>
      <c r="AS96" t="str">
        <f t="shared" si="77"/>
        <v>Y</v>
      </c>
      <c r="AT96" t="str">
        <f t="shared" si="77"/>
        <v>Y</v>
      </c>
      <c r="AU96" t="str">
        <f t="shared" si="81"/>
        <v>N</v>
      </c>
      <c r="AV96" t="str">
        <f t="shared" si="81"/>
        <v>N</v>
      </c>
      <c r="AW96" t="str">
        <f>""</f>
        <v/>
      </c>
      <c r="AX96" t="str">
        <f t="shared" si="65"/>
        <v>No</v>
      </c>
      <c r="AY96" t="str">
        <f>""</f>
        <v/>
      </c>
      <c r="AZ96" t="s">
        <v>12</v>
      </c>
      <c r="BA96" t="s">
        <v>110</v>
      </c>
      <c r="BB96" t="s">
        <v>110</v>
      </c>
    </row>
    <row r="97" spans="1:54">
      <c r="A97" s="7" t="str">
        <f t="shared" si="66"/>
        <v>PHKG6II361S</v>
      </c>
      <c r="B97" s="8" t="e">
        <f t="shared" si="67"/>
        <v>#VALUE!</v>
      </c>
      <c r="C97" t="str">
        <f t="shared" si="84"/>
        <v>PHKG</v>
      </c>
      <c r="D97" t="str">
        <f>"6II"</f>
        <v>6II</v>
      </c>
      <c r="E97" t="str">
        <f>"HUI JIN QIAO 182"</f>
        <v>HUI JIN QIAO 182</v>
      </c>
      <c r="F97" t="str">
        <f>""</f>
        <v/>
      </c>
      <c r="G97" t="str">
        <f t="shared" si="62"/>
        <v>OOCL</v>
      </c>
      <c r="H97" t="str">
        <f>""</f>
        <v/>
      </c>
      <c r="I97" t="str">
        <f>"361"</f>
        <v>361</v>
      </c>
      <c r="J97" t="str">
        <f t="shared" si="95"/>
        <v>S</v>
      </c>
      <c r="K97" t="str">
        <f t="shared" si="96"/>
        <v>2</v>
      </c>
      <c r="L97" t="str">
        <f t="shared" si="97"/>
        <v>HKG02</v>
      </c>
      <c r="M97" t="str">
        <f t="shared" si="98"/>
        <v>HIT - Hongkong International Terminals</v>
      </c>
      <c r="N97" t="str">
        <f t="shared" si="63"/>
        <v>HKG</v>
      </c>
      <c r="O97" t="str">
        <f t="shared" si="88"/>
        <v>1</v>
      </c>
      <c r="P97" t="str">
        <f>""</f>
        <v/>
      </c>
      <c r="Q97" t="str">
        <f>"361S"</f>
        <v>361S</v>
      </c>
      <c r="R97" t="str">
        <f>"361S"</f>
        <v>361S</v>
      </c>
      <c r="S97" t="str">
        <f>""</f>
        <v/>
      </c>
      <c r="T97" t="str">
        <f>"31 Jul 2019 21:00"</f>
        <v>31 Jul 2019 21:00</v>
      </c>
      <c r="U97" t="str">
        <f>"01 Aug 2019 01:00"</f>
        <v>01 Aug 2019 01:00</v>
      </c>
      <c r="V97" t="str">
        <f>"4h"</f>
        <v>4h</v>
      </c>
      <c r="W97" t="str">
        <f>"31 Jul 2019 21:00"</f>
        <v>31 Jul 2019 21:00</v>
      </c>
      <c r="X97" t="str">
        <f>""</f>
        <v/>
      </c>
      <c r="Y97" t="str">
        <f>"01 Aug 2019 01:00"</f>
        <v>01 Aug 2019 01:00</v>
      </c>
      <c r="Z97" t="str">
        <f>""</f>
        <v/>
      </c>
      <c r="AA97" t="str">
        <f>""</f>
        <v/>
      </c>
      <c r="AB97" t="str">
        <f t="shared" si="64"/>
        <v>NN</v>
      </c>
      <c r="AC97" t="str">
        <f t="shared" si="91"/>
        <v>LL</v>
      </c>
      <c r="AD97" t="str">
        <f t="shared" si="92"/>
        <v>0</v>
      </c>
      <c r="AE97" t="str">
        <f t="shared" si="92"/>
        <v>0</v>
      </c>
      <c r="AF97" t="str">
        <f>"31 Jul 2019 21:00"</f>
        <v>31 Jul 2019 21:00</v>
      </c>
      <c r="AG97" t="str">
        <f>"31 Jul 2019 21:00"</f>
        <v>31 Jul 2019 21:00</v>
      </c>
      <c r="AH97" t="str">
        <f>"31 Jul 2019 21:00"</f>
        <v>31 Jul 2019 21:00</v>
      </c>
      <c r="AI97" t="str">
        <f>"31 Jul 2019 21:00"</f>
        <v>31 Jul 2019 21:00</v>
      </c>
      <c r="AJ97" t="str">
        <f>"31 Jul 2019 21:00"</f>
        <v>31 Jul 2019 21:00</v>
      </c>
      <c r="AK97" t="str">
        <f t="shared" si="99"/>
        <v>01 Aug 2019 01:00</v>
      </c>
      <c r="AL97" t="str">
        <f t="shared" si="99"/>
        <v>01 Aug 2019 01:00</v>
      </c>
      <c r="AM97" t="str">
        <f t="shared" si="99"/>
        <v>01 Aug 2019 01:00</v>
      </c>
      <c r="AN97" t="str">
        <f t="shared" si="99"/>
        <v>01 Aug 2019 01:00</v>
      </c>
      <c r="AO97" t="str">
        <f t="shared" si="99"/>
        <v>01 Aug 2019 01:00</v>
      </c>
      <c r="AP97" t="str">
        <f>""</f>
        <v/>
      </c>
      <c r="AQ97" t="str">
        <f>"31 Jul 2019 21:00"</f>
        <v>31 Jul 2019 21:00</v>
      </c>
      <c r="AR97" t="str">
        <f t="shared" si="77"/>
        <v>Y</v>
      </c>
      <c r="AS97" t="str">
        <f t="shared" si="77"/>
        <v>Y</v>
      </c>
      <c r="AT97" t="str">
        <f t="shared" si="77"/>
        <v>Y</v>
      </c>
      <c r="AU97" t="str">
        <f t="shared" si="81"/>
        <v>N</v>
      </c>
      <c r="AV97" t="str">
        <f t="shared" si="81"/>
        <v>N</v>
      </c>
      <c r="AW97" t="str">
        <f>""</f>
        <v/>
      </c>
      <c r="AX97" t="str">
        <f t="shared" si="65"/>
        <v>No</v>
      </c>
      <c r="AY97" t="str">
        <f>""</f>
        <v/>
      </c>
      <c r="AZ97" t="s">
        <v>12</v>
      </c>
      <c r="BA97" t="s">
        <v>115</v>
      </c>
      <c r="BB97" t="s">
        <v>110</v>
      </c>
    </row>
    <row r="98" spans="1:54">
      <c r="A98" s="7" t="str">
        <f t="shared" si="66"/>
        <v>PHKG7EN213S</v>
      </c>
      <c r="B98" s="8" t="e">
        <f t="shared" si="67"/>
        <v>#VALUE!</v>
      </c>
      <c r="C98" t="str">
        <f t="shared" si="84"/>
        <v>PHKG</v>
      </c>
      <c r="D98" t="str">
        <f>"7EN"</f>
        <v>7EN</v>
      </c>
      <c r="E98" t="str">
        <f>"HUI JIN QIAO 05"</f>
        <v>HUI JIN QIAO 05</v>
      </c>
      <c r="F98" t="str">
        <f>""</f>
        <v/>
      </c>
      <c r="G98" t="str">
        <f t="shared" si="62"/>
        <v>OOCL</v>
      </c>
      <c r="H98" t="str">
        <f>""</f>
        <v/>
      </c>
      <c r="I98" t="str">
        <f>"213"</f>
        <v>213</v>
      </c>
      <c r="J98" t="str">
        <f t="shared" si="95"/>
        <v>S</v>
      </c>
      <c r="K98" t="str">
        <f t="shared" si="96"/>
        <v>2</v>
      </c>
      <c r="L98" t="str">
        <f t="shared" si="97"/>
        <v>HKG02</v>
      </c>
      <c r="M98" t="str">
        <f t="shared" si="98"/>
        <v>HIT - Hongkong International Terminals</v>
      </c>
      <c r="N98" t="str">
        <f t="shared" si="63"/>
        <v>HKG</v>
      </c>
      <c r="O98" t="str">
        <f t="shared" si="88"/>
        <v>1</v>
      </c>
      <c r="P98" t="str">
        <f>""</f>
        <v/>
      </c>
      <c r="Q98" t="str">
        <f>"213S"</f>
        <v>213S</v>
      </c>
      <c r="R98" t="str">
        <f>"213S"</f>
        <v>213S</v>
      </c>
      <c r="S98" t="str">
        <f>""</f>
        <v/>
      </c>
      <c r="T98" t="str">
        <f>"01 Aug 2019 00:00"</f>
        <v>01 Aug 2019 00:00</v>
      </c>
      <c r="U98" t="str">
        <f>"01 Aug 2019 01:00"</f>
        <v>01 Aug 2019 01:00</v>
      </c>
      <c r="V98" t="str">
        <f t="shared" ref="V98:V104" si="100">"1h"</f>
        <v>1h</v>
      </c>
      <c r="W98" t="str">
        <f>"01 Aug 2019 00:00"</f>
        <v>01 Aug 2019 00:00</v>
      </c>
      <c r="X98" t="str">
        <f>""</f>
        <v/>
      </c>
      <c r="Y98" t="str">
        <f>"01 Aug 2019 01:00"</f>
        <v>01 Aug 2019 01:00</v>
      </c>
      <c r="Z98" t="str">
        <f>""</f>
        <v/>
      </c>
      <c r="AA98" t="str">
        <f>""</f>
        <v/>
      </c>
      <c r="AB98" t="str">
        <f t="shared" si="64"/>
        <v>NN</v>
      </c>
      <c r="AC98" t="str">
        <f t="shared" si="91"/>
        <v>LL</v>
      </c>
      <c r="AD98" t="str">
        <f t="shared" si="92"/>
        <v>0</v>
      </c>
      <c r="AE98" t="str">
        <f t="shared" si="92"/>
        <v>0</v>
      </c>
      <c r="AF98" t="str">
        <f t="shared" ref="AF98:AJ99" si="101">"01 Aug 2019 00:00"</f>
        <v>01 Aug 2019 00:00</v>
      </c>
      <c r="AG98" t="str">
        <f t="shared" si="101"/>
        <v>01 Aug 2019 00:00</v>
      </c>
      <c r="AH98" t="str">
        <f t="shared" si="101"/>
        <v>01 Aug 2019 00:00</v>
      </c>
      <c r="AI98" t="str">
        <f t="shared" si="101"/>
        <v>01 Aug 2019 00:00</v>
      </c>
      <c r="AJ98" t="str">
        <f t="shared" si="101"/>
        <v>01 Aug 2019 00:00</v>
      </c>
      <c r="AK98" t="str">
        <f t="shared" si="99"/>
        <v>01 Aug 2019 01:00</v>
      </c>
      <c r="AL98" t="str">
        <f t="shared" si="99"/>
        <v>01 Aug 2019 01:00</v>
      </c>
      <c r="AM98" t="str">
        <f t="shared" si="99"/>
        <v>01 Aug 2019 01:00</v>
      </c>
      <c r="AN98" t="str">
        <f t="shared" si="99"/>
        <v>01 Aug 2019 01:00</v>
      </c>
      <c r="AO98" t="str">
        <f t="shared" si="99"/>
        <v>01 Aug 2019 01:00</v>
      </c>
      <c r="AP98" t="str">
        <f>""</f>
        <v/>
      </c>
      <c r="AQ98" t="str">
        <f>"01 Aug 2019 00:00"</f>
        <v>01 Aug 2019 00:00</v>
      </c>
      <c r="AR98" t="str">
        <f t="shared" ref="AR98:AT117" si="102">"Y"</f>
        <v>Y</v>
      </c>
      <c r="AS98" t="str">
        <f t="shared" si="102"/>
        <v>Y</v>
      </c>
      <c r="AT98" t="str">
        <f t="shared" si="102"/>
        <v>Y</v>
      </c>
      <c r="AU98" t="str">
        <f t="shared" si="81"/>
        <v>N</v>
      </c>
      <c r="AV98" t="str">
        <f t="shared" si="81"/>
        <v>N</v>
      </c>
      <c r="AW98" t="str">
        <f>""</f>
        <v/>
      </c>
      <c r="AX98" t="str">
        <f t="shared" si="65"/>
        <v>No</v>
      </c>
      <c r="AY98" t="str">
        <f>""</f>
        <v/>
      </c>
      <c r="AZ98" t="s">
        <v>12</v>
      </c>
      <c r="BA98" t="s">
        <v>110</v>
      </c>
      <c r="BB98" t="s">
        <v>110</v>
      </c>
    </row>
    <row r="99" spans="1:54">
      <c r="A99" s="7" t="str">
        <f t="shared" si="66"/>
        <v>PHKGXH9275S</v>
      </c>
      <c r="B99" s="8" t="e">
        <f t="shared" si="67"/>
        <v>#VALUE!</v>
      </c>
      <c r="C99" t="str">
        <f t="shared" si="84"/>
        <v>PHKG</v>
      </c>
      <c r="D99" t="str">
        <f>"XH9"</f>
        <v>XH9</v>
      </c>
      <c r="E99" t="str">
        <f>"HUI WAN 258"</f>
        <v>HUI WAN 258</v>
      </c>
      <c r="F99" t="str">
        <f>""</f>
        <v/>
      </c>
      <c r="G99" t="str">
        <f t="shared" si="62"/>
        <v>OOCL</v>
      </c>
      <c r="H99" t="str">
        <f>""</f>
        <v/>
      </c>
      <c r="I99" t="str">
        <f>"275"</f>
        <v>275</v>
      </c>
      <c r="J99" t="str">
        <f t="shared" si="95"/>
        <v>S</v>
      </c>
      <c r="K99" t="str">
        <f t="shared" si="96"/>
        <v>2</v>
      </c>
      <c r="L99" t="str">
        <f t="shared" si="97"/>
        <v>HKG02</v>
      </c>
      <c r="M99" t="str">
        <f t="shared" si="98"/>
        <v>HIT - Hongkong International Terminals</v>
      </c>
      <c r="N99" t="str">
        <f t="shared" si="63"/>
        <v>HKG</v>
      </c>
      <c r="O99" t="str">
        <f t="shared" si="88"/>
        <v>1</v>
      </c>
      <c r="P99" t="str">
        <f>""</f>
        <v/>
      </c>
      <c r="Q99" t="str">
        <f>"275S"</f>
        <v>275S</v>
      </c>
      <c r="R99" t="str">
        <f>"275S"</f>
        <v>275S</v>
      </c>
      <c r="S99" t="str">
        <f>""</f>
        <v/>
      </c>
      <c r="T99" t="str">
        <f>"01 Aug 2019 00:00"</f>
        <v>01 Aug 2019 00:00</v>
      </c>
      <c r="U99" t="str">
        <f>"01 Aug 2019 01:00"</f>
        <v>01 Aug 2019 01:00</v>
      </c>
      <c r="V99" t="str">
        <f t="shared" si="100"/>
        <v>1h</v>
      </c>
      <c r="W99" t="str">
        <f>"01 Aug 2019 00:00"</f>
        <v>01 Aug 2019 00:00</v>
      </c>
      <c r="X99" t="str">
        <f>""</f>
        <v/>
      </c>
      <c r="Y99" t="str">
        <f>"01 Aug 2019 01:00"</f>
        <v>01 Aug 2019 01:00</v>
      </c>
      <c r="Z99" t="str">
        <f>""</f>
        <v/>
      </c>
      <c r="AA99" t="str">
        <f>""</f>
        <v/>
      </c>
      <c r="AB99" t="str">
        <f t="shared" si="64"/>
        <v>NN</v>
      </c>
      <c r="AC99" t="str">
        <f t="shared" si="91"/>
        <v>LL</v>
      </c>
      <c r="AD99" t="str">
        <f t="shared" si="92"/>
        <v>0</v>
      </c>
      <c r="AE99" t="str">
        <f t="shared" si="92"/>
        <v>0</v>
      </c>
      <c r="AF99" t="str">
        <f t="shared" si="101"/>
        <v>01 Aug 2019 00:00</v>
      </c>
      <c r="AG99" t="str">
        <f t="shared" si="101"/>
        <v>01 Aug 2019 00:00</v>
      </c>
      <c r="AH99" t="str">
        <f t="shared" si="101"/>
        <v>01 Aug 2019 00:00</v>
      </c>
      <c r="AI99" t="str">
        <f t="shared" si="101"/>
        <v>01 Aug 2019 00:00</v>
      </c>
      <c r="AJ99" t="str">
        <f t="shared" si="101"/>
        <v>01 Aug 2019 00:00</v>
      </c>
      <c r="AK99" t="str">
        <f t="shared" si="99"/>
        <v>01 Aug 2019 01:00</v>
      </c>
      <c r="AL99" t="str">
        <f t="shared" si="99"/>
        <v>01 Aug 2019 01:00</v>
      </c>
      <c r="AM99" t="str">
        <f t="shared" si="99"/>
        <v>01 Aug 2019 01:00</v>
      </c>
      <c r="AN99" t="str">
        <f t="shared" si="99"/>
        <v>01 Aug 2019 01:00</v>
      </c>
      <c r="AO99" t="str">
        <f t="shared" si="99"/>
        <v>01 Aug 2019 01:00</v>
      </c>
      <c r="AP99" t="str">
        <f>""</f>
        <v/>
      </c>
      <c r="AQ99" t="str">
        <f>"01 Aug 2019 00:00"</f>
        <v>01 Aug 2019 00:00</v>
      </c>
      <c r="AR99" t="str">
        <f t="shared" si="102"/>
        <v>Y</v>
      </c>
      <c r="AS99" t="str">
        <f t="shared" si="102"/>
        <v>Y</v>
      </c>
      <c r="AT99" t="str">
        <f t="shared" si="102"/>
        <v>Y</v>
      </c>
      <c r="AU99" t="str">
        <f t="shared" si="81"/>
        <v>N</v>
      </c>
      <c r="AV99" t="str">
        <f t="shared" si="81"/>
        <v>N</v>
      </c>
      <c r="AW99" t="str">
        <f>""</f>
        <v/>
      </c>
      <c r="AX99" t="str">
        <f t="shared" si="65"/>
        <v>No</v>
      </c>
      <c r="AY99" t="str">
        <f>""</f>
        <v/>
      </c>
      <c r="AZ99" t="s">
        <v>12</v>
      </c>
      <c r="BA99" t="s">
        <v>110</v>
      </c>
      <c r="BB99" t="s">
        <v>110</v>
      </c>
    </row>
    <row r="100" spans="1:54">
      <c r="A100" s="7" t="str">
        <f t="shared" si="66"/>
        <v>PHKG5XC008S</v>
      </c>
      <c r="B100" s="8" t="e">
        <f t="shared" si="67"/>
        <v>#VALUE!</v>
      </c>
      <c r="C100" t="str">
        <f t="shared" si="84"/>
        <v>PHKG</v>
      </c>
      <c r="D100" t="str">
        <f>"5XC"</f>
        <v>5XC</v>
      </c>
      <c r="E100" t="str">
        <f>"JIN HUI 188"</f>
        <v>JIN HUI 188</v>
      </c>
      <c r="F100" t="str">
        <f>""</f>
        <v/>
      </c>
      <c r="G100" t="str">
        <f t="shared" si="62"/>
        <v>OOCL</v>
      </c>
      <c r="H100" t="str">
        <f>""</f>
        <v/>
      </c>
      <c r="I100" t="str">
        <f>"008"</f>
        <v>008</v>
      </c>
      <c r="J100" t="str">
        <f t="shared" si="95"/>
        <v>S</v>
      </c>
      <c r="K100" t="str">
        <f t="shared" si="96"/>
        <v>2</v>
      </c>
      <c r="L100" t="str">
        <f t="shared" si="97"/>
        <v>HKG02</v>
      </c>
      <c r="M100" t="str">
        <f t="shared" si="98"/>
        <v>HIT - Hongkong International Terminals</v>
      </c>
      <c r="N100" t="str">
        <f t="shared" si="63"/>
        <v>HKG</v>
      </c>
      <c r="O100" t="str">
        <f t="shared" si="88"/>
        <v>1</v>
      </c>
      <c r="P100" t="str">
        <f>""</f>
        <v/>
      </c>
      <c r="Q100" t="str">
        <f>"008S"</f>
        <v>008S</v>
      </c>
      <c r="R100" t="str">
        <f>"008S"</f>
        <v>008S</v>
      </c>
      <c r="S100" t="str">
        <f>""</f>
        <v/>
      </c>
      <c r="T100" t="str">
        <f>"01 Aug 2019 02:00"</f>
        <v>01 Aug 2019 02:00</v>
      </c>
      <c r="U100" t="str">
        <f>"01 Aug 2019 03:00"</f>
        <v>01 Aug 2019 03:00</v>
      </c>
      <c r="V100" t="str">
        <f t="shared" si="100"/>
        <v>1h</v>
      </c>
      <c r="W100" t="str">
        <f>"01 Aug 2019 02:00"</f>
        <v>01 Aug 2019 02:00</v>
      </c>
      <c r="X100" t="str">
        <f>""</f>
        <v/>
      </c>
      <c r="Y100" t="str">
        <f>"01 Aug 2019 03:00"</f>
        <v>01 Aug 2019 03:00</v>
      </c>
      <c r="Z100" t="str">
        <f>""</f>
        <v/>
      </c>
      <c r="AA100" t="str">
        <f>""</f>
        <v/>
      </c>
      <c r="AB100" t="str">
        <f t="shared" si="64"/>
        <v>NN</v>
      </c>
      <c r="AC100" t="str">
        <f t="shared" si="91"/>
        <v>LL</v>
      </c>
      <c r="AD100" t="str">
        <f t="shared" si="92"/>
        <v>0</v>
      </c>
      <c r="AE100" t="str">
        <f t="shared" si="92"/>
        <v>0</v>
      </c>
      <c r="AF100" t="str">
        <f>"02 Aug 2019 23:00"</f>
        <v>02 Aug 2019 23:00</v>
      </c>
      <c r="AG100" t="str">
        <f>"02 Aug 2019 23:00"</f>
        <v>02 Aug 2019 23:00</v>
      </c>
      <c r="AH100" t="str">
        <f>"02 Aug 2019 23:00"</f>
        <v>02 Aug 2019 23:00</v>
      </c>
      <c r="AI100" t="str">
        <f>"02 Aug 2019 23:00"</f>
        <v>02 Aug 2019 23:00</v>
      </c>
      <c r="AJ100" t="str">
        <f>"02 Aug 2019 23:00"</f>
        <v>02 Aug 2019 23:00</v>
      </c>
      <c r="AK100" t="str">
        <f>"01 Aug 2019 03:00"</f>
        <v>01 Aug 2019 03:00</v>
      </c>
      <c r="AL100" t="str">
        <f>"01 Aug 2019 03:00"</f>
        <v>01 Aug 2019 03:00</v>
      </c>
      <c r="AM100" t="str">
        <f>"01 Aug 2019 03:00"</f>
        <v>01 Aug 2019 03:00</v>
      </c>
      <c r="AN100" t="str">
        <f>"01 Aug 2019 03:00"</f>
        <v>01 Aug 2019 03:00</v>
      </c>
      <c r="AO100" t="str">
        <f>"01 Aug 2019 03:00"</f>
        <v>01 Aug 2019 03:00</v>
      </c>
      <c r="AP100" t="str">
        <f>""</f>
        <v/>
      </c>
      <c r="AQ100" t="str">
        <f>"02 Aug 2019 23:00"</f>
        <v>02 Aug 2019 23:00</v>
      </c>
      <c r="AR100" t="str">
        <f t="shared" si="102"/>
        <v>Y</v>
      </c>
      <c r="AS100" t="str">
        <f t="shared" si="102"/>
        <v>Y</v>
      </c>
      <c r="AT100" t="str">
        <f t="shared" si="102"/>
        <v>Y</v>
      </c>
      <c r="AU100" t="str">
        <f t="shared" si="81"/>
        <v>N</v>
      </c>
      <c r="AV100" t="str">
        <f t="shared" si="81"/>
        <v>N</v>
      </c>
      <c r="AW100" t="str">
        <f>""</f>
        <v/>
      </c>
      <c r="AX100" t="str">
        <f t="shared" si="65"/>
        <v>No</v>
      </c>
      <c r="AY100" t="str">
        <f>""</f>
        <v/>
      </c>
      <c r="AZ100" t="s">
        <v>12</v>
      </c>
      <c r="BA100" t="s">
        <v>110</v>
      </c>
      <c r="BB100" t="s">
        <v>110</v>
      </c>
    </row>
    <row r="101" spans="1:54">
      <c r="A101" s="7" t="str">
        <f t="shared" si="66"/>
        <v>PHKG2ST211S</v>
      </c>
      <c r="B101" s="8">
        <f t="shared" si="67"/>
        <v>43677.75</v>
      </c>
      <c r="C101" t="str">
        <f t="shared" si="84"/>
        <v>PHKG</v>
      </c>
      <c r="D101" t="str">
        <f>"2ST"</f>
        <v>2ST</v>
      </c>
      <c r="E101" t="str">
        <f>"YUE FU LONG 168"</f>
        <v>YUE FU LONG 168</v>
      </c>
      <c r="F101" t="str">
        <f>""</f>
        <v/>
      </c>
      <c r="G101" t="str">
        <f t="shared" si="62"/>
        <v>OOCL</v>
      </c>
      <c r="H101" t="str">
        <f>""</f>
        <v/>
      </c>
      <c r="I101" t="str">
        <f>"211"</f>
        <v>211</v>
      </c>
      <c r="J101" t="str">
        <f t="shared" si="95"/>
        <v>S</v>
      </c>
      <c r="K101" t="str">
        <f t="shared" si="96"/>
        <v>2</v>
      </c>
      <c r="L101" t="str">
        <f t="shared" si="97"/>
        <v>HKG02</v>
      </c>
      <c r="M101" t="str">
        <f t="shared" si="98"/>
        <v>HIT - Hongkong International Terminals</v>
      </c>
      <c r="N101" t="str">
        <f t="shared" si="63"/>
        <v>HKG</v>
      </c>
      <c r="O101" t="str">
        <f t="shared" si="88"/>
        <v>1</v>
      </c>
      <c r="P101" t="str">
        <f>""</f>
        <v/>
      </c>
      <c r="Q101" t="str">
        <f t="shared" ref="Q101:R103" si="103">"211S"</f>
        <v>211S</v>
      </c>
      <c r="R101" t="str">
        <f t="shared" si="103"/>
        <v>211S</v>
      </c>
      <c r="S101" t="str">
        <f>""</f>
        <v/>
      </c>
      <c r="T101" t="str">
        <f>"01 Aug 2019 03:00"</f>
        <v>01 Aug 2019 03:00</v>
      </c>
      <c r="U101" t="str">
        <f>"01 Aug 2019 04:00"</f>
        <v>01 Aug 2019 04:00</v>
      </c>
      <c r="V101" t="str">
        <f t="shared" si="100"/>
        <v>1h</v>
      </c>
      <c r="W101" t="str">
        <f>"01 Aug 2019 03:00"</f>
        <v>01 Aug 2019 03:00</v>
      </c>
      <c r="X101" t="str">
        <f>""</f>
        <v/>
      </c>
      <c r="Y101" t="str">
        <f>"01 Aug 2019 04:00"</f>
        <v>01 Aug 2019 04:00</v>
      </c>
      <c r="Z101" t="str">
        <f>""</f>
        <v/>
      </c>
      <c r="AA101" t="str">
        <f>""</f>
        <v/>
      </c>
      <c r="AB101" t="str">
        <f t="shared" si="64"/>
        <v>NN</v>
      </c>
      <c r="AC101" t="str">
        <f t="shared" si="91"/>
        <v>LL</v>
      </c>
      <c r="AD101" t="str">
        <f t="shared" si="92"/>
        <v>0</v>
      </c>
      <c r="AE101" t="str">
        <f t="shared" si="92"/>
        <v>0</v>
      </c>
      <c r="AF101" t="str">
        <f>"07 Aug 2019 21:00"</f>
        <v>07 Aug 2019 21:00</v>
      </c>
      <c r="AG101" t="str">
        <f>"07 Aug 2019 21:00"</f>
        <v>07 Aug 2019 21:00</v>
      </c>
      <c r="AH101" t="str">
        <f>"07 Aug 2019 21:00"</f>
        <v>07 Aug 2019 21:00</v>
      </c>
      <c r="AI101" t="str">
        <f>"07 Aug 2019 21:00"</f>
        <v>07 Aug 2019 21:00</v>
      </c>
      <c r="AJ101" t="str">
        <f>"07 Aug 2019 21:00"</f>
        <v>07 Aug 2019 21:00</v>
      </c>
      <c r="AK101" t="str">
        <f t="shared" ref="AK101:AP101" si="104">"31 Jul 2019 18:00"</f>
        <v>31 Jul 2019 18:00</v>
      </c>
      <c r="AL101" t="str">
        <f t="shared" si="104"/>
        <v>31 Jul 2019 18:00</v>
      </c>
      <c r="AM101" t="str">
        <f t="shared" si="104"/>
        <v>31 Jul 2019 18:00</v>
      </c>
      <c r="AN101" t="str">
        <f t="shared" si="104"/>
        <v>31 Jul 2019 18:00</v>
      </c>
      <c r="AO101" t="str">
        <f t="shared" si="104"/>
        <v>31 Jul 2019 18:00</v>
      </c>
      <c r="AP101" t="str">
        <f t="shared" si="104"/>
        <v>31 Jul 2019 18:00</v>
      </c>
      <c r="AQ101" t="str">
        <f>"07 Aug 2019 21:00"</f>
        <v>07 Aug 2019 21:00</v>
      </c>
      <c r="AR101" t="str">
        <f t="shared" si="102"/>
        <v>Y</v>
      </c>
      <c r="AS101" t="str">
        <f t="shared" si="102"/>
        <v>Y</v>
      </c>
      <c r="AT101" t="str">
        <f t="shared" si="102"/>
        <v>Y</v>
      </c>
      <c r="AU101" t="str">
        <f t="shared" si="81"/>
        <v>N</v>
      </c>
      <c r="AV101" t="str">
        <f t="shared" si="81"/>
        <v>N</v>
      </c>
      <c r="AW101" t="str">
        <f>""</f>
        <v/>
      </c>
      <c r="AX101" t="str">
        <f t="shared" si="65"/>
        <v>No</v>
      </c>
      <c r="AY101" t="str">
        <f>""</f>
        <v/>
      </c>
      <c r="AZ101" t="s">
        <v>12</v>
      </c>
      <c r="BA101" t="s">
        <v>110</v>
      </c>
      <c r="BB101" t="s">
        <v>110</v>
      </c>
    </row>
    <row r="102" spans="1:54">
      <c r="A102" s="7" t="str">
        <f t="shared" si="66"/>
        <v>PHKG2ST211S</v>
      </c>
      <c r="B102" s="8">
        <f t="shared" si="67"/>
        <v>43677.791666666664</v>
      </c>
      <c r="C102" t="str">
        <f t="shared" si="84"/>
        <v>PHKG</v>
      </c>
      <c r="D102" t="str">
        <f>"2ST"</f>
        <v>2ST</v>
      </c>
      <c r="E102" t="str">
        <f>"YUE FU LONG 168"</f>
        <v>YUE FU LONG 168</v>
      </c>
      <c r="F102" t="str">
        <f>""</f>
        <v/>
      </c>
      <c r="G102" t="str">
        <f t="shared" si="62"/>
        <v>OOCL</v>
      </c>
      <c r="H102" t="str">
        <f>""</f>
        <v/>
      </c>
      <c r="I102" t="str">
        <f>"211"</f>
        <v>211</v>
      </c>
      <c r="J102" t="str">
        <f t="shared" si="95"/>
        <v>S</v>
      </c>
      <c r="K102" t="str">
        <f>"3"</f>
        <v>3</v>
      </c>
      <c r="L102" t="str">
        <f>"HKG04"</f>
        <v>HKG04</v>
      </c>
      <c r="M102" t="str">
        <f>"Cosco - HIT Terminals (HK) Ltd"</f>
        <v>Cosco - HIT Terminals (HK) Ltd</v>
      </c>
      <c r="N102" t="str">
        <f t="shared" si="63"/>
        <v>HKG</v>
      </c>
      <c r="O102" t="str">
        <f>"2"</f>
        <v>2</v>
      </c>
      <c r="P102" t="str">
        <f>""</f>
        <v/>
      </c>
      <c r="Q102" t="str">
        <f t="shared" si="103"/>
        <v>211S</v>
      </c>
      <c r="R102" t="str">
        <f t="shared" si="103"/>
        <v>211S</v>
      </c>
      <c r="S102" t="str">
        <f>""</f>
        <v/>
      </c>
      <c r="T102" t="str">
        <f>"01 Aug 2019 08:00"</f>
        <v>01 Aug 2019 08:00</v>
      </c>
      <c r="U102" t="str">
        <f>"01 Aug 2019 09:00"</f>
        <v>01 Aug 2019 09:00</v>
      </c>
      <c r="V102" t="str">
        <f t="shared" si="100"/>
        <v>1h</v>
      </c>
      <c r="W102" t="str">
        <f>"01 Aug 2019 08:00"</f>
        <v>01 Aug 2019 08:00</v>
      </c>
      <c r="X102" t="str">
        <f>""</f>
        <v/>
      </c>
      <c r="Y102" t="str">
        <f>"01 Aug 2019 09:00"</f>
        <v>01 Aug 2019 09:00</v>
      </c>
      <c r="Z102" t="str">
        <f>""</f>
        <v/>
      </c>
      <c r="AA102" t="str">
        <f>""</f>
        <v/>
      </c>
      <c r="AB102" t="str">
        <f t="shared" si="64"/>
        <v>NN</v>
      </c>
      <c r="AC102" t="str">
        <f t="shared" si="91"/>
        <v>LL</v>
      </c>
      <c r="AD102" t="str">
        <f t="shared" si="92"/>
        <v>0</v>
      </c>
      <c r="AE102" t="str">
        <f t="shared" si="92"/>
        <v>0</v>
      </c>
      <c r="AF102" t="str">
        <f t="shared" ref="AF102:AJ103" si="105">"07 Aug 2019 22:00"</f>
        <v>07 Aug 2019 22:00</v>
      </c>
      <c r="AG102" t="str">
        <f t="shared" si="105"/>
        <v>07 Aug 2019 22:00</v>
      </c>
      <c r="AH102" t="str">
        <f t="shared" si="105"/>
        <v>07 Aug 2019 22:00</v>
      </c>
      <c r="AI102" t="str">
        <f t="shared" si="105"/>
        <v>07 Aug 2019 22:00</v>
      </c>
      <c r="AJ102" t="str">
        <f t="shared" si="105"/>
        <v>07 Aug 2019 22:00</v>
      </c>
      <c r="AK102" t="str">
        <f t="shared" ref="AK102:AP102" si="106">"31 Jul 2019 19:00"</f>
        <v>31 Jul 2019 19:00</v>
      </c>
      <c r="AL102" t="str">
        <f t="shared" si="106"/>
        <v>31 Jul 2019 19:00</v>
      </c>
      <c r="AM102" t="str">
        <f t="shared" si="106"/>
        <v>31 Jul 2019 19:00</v>
      </c>
      <c r="AN102" t="str">
        <f t="shared" si="106"/>
        <v>31 Jul 2019 19:00</v>
      </c>
      <c r="AO102" t="str">
        <f t="shared" si="106"/>
        <v>31 Jul 2019 19:00</v>
      </c>
      <c r="AP102" t="str">
        <f t="shared" si="106"/>
        <v>31 Jul 2019 19:00</v>
      </c>
      <c r="AQ102" t="str">
        <f>"07 Aug 2019 22:00"</f>
        <v>07 Aug 2019 22:00</v>
      </c>
      <c r="AR102" t="str">
        <f t="shared" si="102"/>
        <v>Y</v>
      </c>
      <c r="AS102" t="str">
        <f t="shared" si="102"/>
        <v>Y</v>
      </c>
      <c r="AT102" t="str">
        <f t="shared" si="102"/>
        <v>Y</v>
      </c>
      <c r="AU102" t="str">
        <f t="shared" ref="AU102:AV121" si="107">"N"</f>
        <v>N</v>
      </c>
      <c r="AV102" t="str">
        <f t="shared" si="107"/>
        <v>N</v>
      </c>
      <c r="AW102" t="str">
        <f>""</f>
        <v/>
      </c>
      <c r="AX102" t="str">
        <f t="shared" si="65"/>
        <v>No</v>
      </c>
      <c r="AY102" t="str">
        <f>""</f>
        <v/>
      </c>
      <c r="AZ102" t="s">
        <v>12</v>
      </c>
      <c r="BA102" t="s">
        <v>110</v>
      </c>
      <c r="BB102" t="s">
        <v>110</v>
      </c>
    </row>
    <row r="103" spans="1:54">
      <c r="A103" s="7" t="str">
        <f t="shared" si="66"/>
        <v>PHKG2ST211S</v>
      </c>
      <c r="B103" s="8" t="e">
        <f t="shared" si="67"/>
        <v>#VALUE!</v>
      </c>
      <c r="C103" t="str">
        <f t="shared" si="84"/>
        <v>PHKG</v>
      </c>
      <c r="D103" t="str">
        <f>"2ST"</f>
        <v>2ST</v>
      </c>
      <c r="E103" t="str">
        <f>"YUE FU LONG 168"</f>
        <v>YUE FU LONG 168</v>
      </c>
      <c r="F103" t="str">
        <f>""</f>
        <v/>
      </c>
      <c r="G103" t="str">
        <f t="shared" si="62"/>
        <v>OOCL</v>
      </c>
      <c r="H103" t="str">
        <f>""</f>
        <v/>
      </c>
      <c r="I103" t="str">
        <f>"211"</f>
        <v>211</v>
      </c>
      <c r="J103" t="str">
        <f t="shared" si="95"/>
        <v>S</v>
      </c>
      <c r="K103" t="str">
        <f>"4"</f>
        <v>4</v>
      </c>
      <c r="L103" t="str">
        <f>"HKG05"</f>
        <v>HKG05</v>
      </c>
      <c r="M103" t="str">
        <f>"Asia Container Terminal Ltd."</f>
        <v>Asia Container Terminal Ltd.</v>
      </c>
      <c r="N103" t="str">
        <f t="shared" si="63"/>
        <v>HKG</v>
      </c>
      <c r="O103" t="str">
        <f>"3"</f>
        <v>3</v>
      </c>
      <c r="P103" t="str">
        <f>""</f>
        <v/>
      </c>
      <c r="Q103" t="str">
        <f t="shared" si="103"/>
        <v>211S</v>
      </c>
      <c r="R103" t="str">
        <f t="shared" si="103"/>
        <v>211S</v>
      </c>
      <c r="S103" t="str">
        <f>""</f>
        <v/>
      </c>
      <c r="T103" t="str">
        <f>"01 Aug 2019 13:00"</f>
        <v>01 Aug 2019 13:00</v>
      </c>
      <c r="U103" t="str">
        <f>"01 Aug 2019 14:00"</f>
        <v>01 Aug 2019 14:00</v>
      </c>
      <c r="V103" t="str">
        <f t="shared" si="100"/>
        <v>1h</v>
      </c>
      <c r="W103" t="str">
        <f>"01 Aug 2019 13:00"</f>
        <v>01 Aug 2019 13:00</v>
      </c>
      <c r="X103" t="str">
        <f>""</f>
        <v/>
      </c>
      <c r="Y103" t="str">
        <f>"01 Aug 2019 14:00"</f>
        <v>01 Aug 2019 14:00</v>
      </c>
      <c r="Z103" t="str">
        <f>""</f>
        <v/>
      </c>
      <c r="AA103" t="str">
        <f>""</f>
        <v/>
      </c>
      <c r="AB103" t="str">
        <f t="shared" si="64"/>
        <v>NN</v>
      </c>
      <c r="AC103" t="str">
        <f t="shared" si="91"/>
        <v>LL</v>
      </c>
      <c r="AD103" t="str">
        <f t="shared" si="92"/>
        <v>0</v>
      </c>
      <c r="AE103" t="str">
        <f t="shared" si="92"/>
        <v>0</v>
      </c>
      <c r="AF103" t="str">
        <f t="shared" si="105"/>
        <v>07 Aug 2019 22:00</v>
      </c>
      <c r="AG103" t="str">
        <f t="shared" si="105"/>
        <v>07 Aug 2019 22:00</v>
      </c>
      <c r="AH103" t="str">
        <f t="shared" si="105"/>
        <v>07 Aug 2019 22:00</v>
      </c>
      <c r="AI103" t="str">
        <f t="shared" si="105"/>
        <v>07 Aug 2019 22:00</v>
      </c>
      <c r="AJ103" t="str">
        <f t="shared" si="105"/>
        <v>07 Aug 2019 22:00</v>
      </c>
      <c r="AK103" t="str">
        <f>"01 Aug 2019 14:00"</f>
        <v>01 Aug 2019 14:00</v>
      </c>
      <c r="AL103" t="str">
        <f>"01 Aug 2019 14:00"</f>
        <v>01 Aug 2019 14:00</v>
      </c>
      <c r="AM103" t="str">
        <f>"01 Aug 2019 14:00"</f>
        <v>01 Aug 2019 14:00</v>
      </c>
      <c r="AN103" t="str">
        <f>"01 Aug 2019 14:00"</f>
        <v>01 Aug 2019 14:00</v>
      </c>
      <c r="AO103" t="str">
        <f>"01 Aug 2019 14:00"</f>
        <v>01 Aug 2019 14:00</v>
      </c>
      <c r="AP103" t="str">
        <f>""</f>
        <v/>
      </c>
      <c r="AQ103" t="str">
        <f>"07 Aug 2019 22:00"</f>
        <v>07 Aug 2019 22:00</v>
      </c>
      <c r="AR103" t="str">
        <f t="shared" si="102"/>
        <v>Y</v>
      </c>
      <c r="AS103" t="str">
        <f t="shared" si="102"/>
        <v>Y</v>
      </c>
      <c r="AT103" t="str">
        <f t="shared" si="102"/>
        <v>Y</v>
      </c>
      <c r="AU103" t="str">
        <f t="shared" si="107"/>
        <v>N</v>
      </c>
      <c r="AV103" t="str">
        <f t="shared" si="107"/>
        <v>N</v>
      </c>
      <c r="AW103" t="str">
        <f>""</f>
        <v/>
      </c>
      <c r="AX103" t="str">
        <f t="shared" si="65"/>
        <v>No</v>
      </c>
      <c r="AY103" t="str">
        <f>""</f>
        <v/>
      </c>
      <c r="AZ103" t="s">
        <v>12</v>
      </c>
      <c r="BA103" t="s">
        <v>110</v>
      </c>
      <c r="BB103" t="s">
        <v>110</v>
      </c>
    </row>
    <row r="104" spans="1:54">
      <c r="A104" s="7" t="str">
        <f t="shared" si="66"/>
        <v>PHKG2ST212N</v>
      </c>
      <c r="B104" s="8" t="e">
        <f t="shared" si="67"/>
        <v>#VALUE!</v>
      </c>
      <c r="C104" t="str">
        <f t="shared" si="84"/>
        <v>PHKG</v>
      </c>
      <c r="D104" t="str">
        <f>"2ST"</f>
        <v>2ST</v>
      </c>
      <c r="E104" t="str">
        <f>"YUE FU LONG 168"</f>
        <v>YUE FU LONG 168</v>
      </c>
      <c r="F104" t="str">
        <f>""</f>
        <v/>
      </c>
      <c r="G104" t="str">
        <f t="shared" si="62"/>
        <v>OOCL</v>
      </c>
      <c r="H104" t="str">
        <f>""</f>
        <v/>
      </c>
      <c r="I104" t="str">
        <f>"212"</f>
        <v>212</v>
      </c>
      <c r="J104" t="str">
        <f>"N"</f>
        <v>N</v>
      </c>
      <c r="K104" t="str">
        <f>"1"</f>
        <v>1</v>
      </c>
      <c r="L104" t="str">
        <f>"HKG02"</f>
        <v>HKG02</v>
      </c>
      <c r="M104" t="str">
        <f>"HIT - Hongkong International Terminals"</f>
        <v>HIT - Hongkong International Terminals</v>
      </c>
      <c r="N104" t="str">
        <f t="shared" si="63"/>
        <v>HKG</v>
      </c>
      <c r="O104" t="str">
        <f>"1"</f>
        <v>1</v>
      </c>
      <c r="P104" t="str">
        <f>""</f>
        <v/>
      </c>
      <c r="Q104" t="str">
        <f>"212N"</f>
        <v>212N</v>
      </c>
      <c r="R104" t="str">
        <f>"212N"</f>
        <v>212N</v>
      </c>
      <c r="S104" t="str">
        <f>""</f>
        <v/>
      </c>
      <c r="T104" t="str">
        <f>"01 Aug 2019 22:00"</f>
        <v>01 Aug 2019 22:00</v>
      </c>
      <c r="U104" t="str">
        <f>"01 Aug 2019 23:00"</f>
        <v>01 Aug 2019 23:00</v>
      </c>
      <c r="V104" t="str">
        <f t="shared" si="100"/>
        <v>1h</v>
      </c>
      <c r="W104" t="str">
        <f>"01 Aug 2019 22:00"</f>
        <v>01 Aug 2019 22:00</v>
      </c>
      <c r="X104" t="str">
        <f>""</f>
        <v/>
      </c>
      <c r="Y104" t="str">
        <f>"01 Aug 2019 23:00"</f>
        <v>01 Aug 2019 23:00</v>
      </c>
      <c r="Z104" t="str">
        <f>""</f>
        <v/>
      </c>
      <c r="AA104" t="str">
        <f>""</f>
        <v/>
      </c>
      <c r="AB104" t="str">
        <f t="shared" si="64"/>
        <v>NN</v>
      </c>
      <c r="AC104" t="str">
        <f t="shared" si="91"/>
        <v>LL</v>
      </c>
      <c r="AD104" t="str">
        <f t="shared" si="92"/>
        <v>0</v>
      </c>
      <c r="AE104" t="str">
        <f t="shared" si="92"/>
        <v>0</v>
      </c>
      <c r="AF104" t="str">
        <f t="shared" ref="AF104:AO104" si="108">"01 Aug 2019 22:00"</f>
        <v>01 Aug 2019 22:00</v>
      </c>
      <c r="AG104" t="str">
        <f t="shared" si="108"/>
        <v>01 Aug 2019 22:00</v>
      </c>
      <c r="AH104" t="str">
        <f t="shared" si="108"/>
        <v>01 Aug 2019 22:00</v>
      </c>
      <c r="AI104" t="str">
        <f t="shared" si="108"/>
        <v>01 Aug 2019 22:00</v>
      </c>
      <c r="AJ104" t="str">
        <f t="shared" si="108"/>
        <v>01 Aug 2019 22:00</v>
      </c>
      <c r="AK104" t="str">
        <f t="shared" si="108"/>
        <v>01 Aug 2019 22:00</v>
      </c>
      <c r="AL104" t="str">
        <f t="shared" si="108"/>
        <v>01 Aug 2019 22:00</v>
      </c>
      <c r="AM104" t="str">
        <f t="shared" si="108"/>
        <v>01 Aug 2019 22:00</v>
      </c>
      <c r="AN104" t="str">
        <f t="shared" si="108"/>
        <v>01 Aug 2019 22:00</v>
      </c>
      <c r="AO104" t="str">
        <f t="shared" si="108"/>
        <v>01 Aug 2019 22:00</v>
      </c>
      <c r="AP104" t="str">
        <f>""</f>
        <v/>
      </c>
      <c r="AQ104" t="str">
        <f>"01 Aug 2019 22:00"</f>
        <v>01 Aug 2019 22:00</v>
      </c>
      <c r="AR104" t="str">
        <f t="shared" si="102"/>
        <v>Y</v>
      </c>
      <c r="AS104" t="str">
        <f t="shared" si="102"/>
        <v>Y</v>
      </c>
      <c r="AT104" t="str">
        <f t="shared" si="102"/>
        <v>Y</v>
      </c>
      <c r="AU104" t="str">
        <f t="shared" si="107"/>
        <v>N</v>
      </c>
      <c r="AV104" t="str">
        <f t="shared" si="107"/>
        <v>N</v>
      </c>
      <c r="AW104" t="str">
        <f>""</f>
        <v/>
      </c>
      <c r="AX104" t="str">
        <f t="shared" si="65"/>
        <v>No</v>
      </c>
      <c r="AY104" t="str">
        <f>""</f>
        <v/>
      </c>
      <c r="AZ104" t="s">
        <v>12</v>
      </c>
      <c r="BA104" t="s">
        <v>110</v>
      </c>
      <c r="BB104" t="s">
        <v>110</v>
      </c>
    </row>
    <row r="105" spans="1:54">
      <c r="A105" s="7" t="str">
        <f t="shared" si="66"/>
        <v>PHKG7EO117S</v>
      </c>
      <c r="B105" s="8" t="e">
        <f t="shared" si="67"/>
        <v>#VALUE!</v>
      </c>
      <c r="C105" t="str">
        <f t="shared" si="84"/>
        <v>PHKG</v>
      </c>
      <c r="D105" t="str">
        <f>"7EO"</f>
        <v>7EO</v>
      </c>
      <c r="E105" t="str">
        <f>"ZHEN DONG 588"</f>
        <v>ZHEN DONG 588</v>
      </c>
      <c r="F105" t="str">
        <f>""</f>
        <v/>
      </c>
      <c r="G105" t="str">
        <f t="shared" si="62"/>
        <v>OOCL</v>
      </c>
      <c r="H105" t="str">
        <f>""</f>
        <v/>
      </c>
      <c r="I105" t="str">
        <f>"117"</f>
        <v>117</v>
      </c>
      <c r="J105" t="str">
        <f>"S"</f>
        <v>S</v>
      </c>
      <c r="K105" t="str">
        <f>"2"</f>
        <v>2</v>
      </c>
      <c r="L105" t="str">
        <f>"HKG02"</f>
        <v>HKG02</v>
      </c>
      <c r="M105" t="str">
        <f>"HIT - Hongkong International Terminals"</f>
        <v>HIT - Hongkong International Terminals</v>
      </c>
      <c r="N105" t="str">
        <f t="shared" si="63"/>
        <v>HKG</v>
      </c>
      <c r="O105" t="str">
        <f>"1"</f>
        <v>1</v>
      </c>
      <c r="P105" t="str">
        <f>""</f>
        <v/>
      </c>
      <c r="Q105" t="str">
        <f>"117S"</f>
        <v>117S</v>
      </c>
      <c r="R105" t="str">
        <f>"117S"</f>
        <v>117S</v>
      </c>
      <c r="S105" t="str">
        <f>""</f>
        <v/>
      </c>
      <c r="T105" t="str">
        <f>"01 Aug 2019 02:00"</f>
        <v>01 Aug 2019 02:00</v>
      </c>
      <c r="U105" t="str">
        <f>"01 Aug 2019 04:00"</f>
        <v>01 Aug 2019 04:00</v>
      </c>
      <c r="V105" t="str">
        <f>"2h"</f>
        <v>2h</v>
      </c>
      <c r="W105" t="str">
        <f>"01 Aug 2019 02:00"</f>
        <v>01 Aug 2019 02:00</v>
      </c>
      <c r="X105" t="str">
        <f>""</f>
        <v/>
      </c>
      <c r="Y105" t="str">
        <f>"01 Aug 2019 04:00"</f>
        <v>01 Aug 2019 04:00</v>
      </c>
      <c r="Z105" t="str">
        <f>""</f>
        <v/>
      </c>
      <c r="AA105" t="str">
        <f>""</f>
        <v/>
      </c>
      <c r="AB105" t="str">
        <f t="shared" si="64"/>
        <v>NN</v>
      </c>
      <c r="AC105" t="str">
        <f t="shared" si="91"/>
        <v>LL</v>
      </c>
      <c r="AD105" t="str">
        <f t="shared" si="92"/>
        <v>0</v>
      </c>
      <c r="AE105" t="str">
        <f t="shared" si="92"/>
        <v>0</v>
      </c>
      <c r="AF105" t="str">
        <f>"01 Aug 2019 02:00"</f>
        <v>01 Aug 2019 02:00</v>
      </c>
      <c r="AG105" t="str">
        <f>"01 Aug 2019 02:00"</f>
        <v>01 Aug 2019 02:00</v>
      </c>
      <c r="AH105" t="str">
        <f>"01 Aug 2019 02:00"</f>
        <v>01 Aug 2019 02:00</v>
      </c>
      <c r="AI105" t="str">
        <f>"01 Aug 2019 02:00"</f>
        <v>01 Aug 2019 02:00</v>
      </c>
      <c r="AJ105" t="str">
        <f>"01 Aug 2019 02:00"</f>
        <v>01 Aug 2019 02:00</v>
      </c>
      <c r="AK105" t="str">
        <f>"01 Aug 2019 04:00"</f>
        <v>01 Aug 2019 04:00</v>
      </c>
      <c r="AL105" t="str">
        <f>"01 Aug 2019 04:00"</f>
        <v>01 Aug 2019 04:00</v>
      </c>
      <c r="AM105" t="str">
        <f>"01 Aug 2019 04:00"</f>
        <v>01 Aug 2019 04:00</v>
      </c>
      <c r="AN105" t="str">
        <f>"01 Aug 2019 04:00"</f>
        <v>01 Aug 2019 04:00</v>
      </c>
      <c r="AO105" t="str">
        <f>"01 Aug 2019 04:00"</f>
        <v>01 Aug 2019 04:00</v>
      </c>
      <c r="AP105" t="str">
        <f>""</f>
        <v/>
      </c>
      <c r="AQ105" t="str">
        <f>"01 Aug 2019 02:00"</f>
        <v>01 Aug 2019 02:00</v>
      </c>
      <c r="AR105" t="str">
        <f t="shared" si="102"/>
        <v>Y</v>
      </c>
      <c r="AS105" t="str">
        <f t="shared" si="102"/>
        <v>Y</v>
      </c>
      <c r="AT105" t="str">
        <f t="shared" si="102"/>
        <v>Y</v>
      </c>
      <c r="AU105" t="str">
        <f t="shared" si="107"/>
        <v>N</v>
      </c>
      <c r="AV105" t="str">
        <f t="shared" si="107"/>
        <v>N</v>
      </c>
      <c r="AW105" t="str">
        <f>""</f>
        <v/>
      </c>
      <c r="AX105" t="str">
        <f t="shared" si="65"/>
        <v>No</v>
      </c>
      <c r="AY105" t="str">
        <f>""</f>
        <v/>
      </c>
      <c r="AZ105" t="s">
        <v>12</v>
      </c>
      <c r="BA105" t="s">
        <v>110</v>
      </c>
      <c r="BB105" t="s">
        <v>110</v>
      </c>
    </row>
    <row r="106" spans="1:54">
      <c r="A106" s="7" t="str">
        <f t="shared" si="66"/>
        <v>PHKG6TL085N</v>
      </c>
      <c r="B106" s="8" t="e">
        <f t="shared" si="67"/>
        <v>#VALUE!</v>
      </c>
      <c r="C106" t="str">
        <f t="shared" si="84"/>
        <v>PHKG</v>
      </c>
      <c r="D106" t="str">
        <f>"6TL"</f>
        <v>6TL</v>
      </c>
      <c r="E106" t="str">
        <f>"SUI DONG FANG 898"</f>
        <v>SUI DONG FANG 898</v>
      </c>
      <c r="F106" t="str">
        <f>""</f>
        <v/>
      </c>
      <c r="G106" t="str">
        <f t="shared" si="62"/>
        <v>OOCL</v>
      </c>
      <c r="H106" t="str">
        <f>""</f>
        <v/>
      </c>
      <c r="I106" t="str">
        <f>"085"</f>
        <v>085</v>
      </c>
      <c r="J106" t="str">
        <f>"N"</f>
        <v>N</v>
      </c>
      <c r="K106" t="str">
        <f>"1"</f>
        <v>1</v>
      </c>
      <c r="L106" t="str">
        <f>"HKG02"</f>
        <v>HKG02</v>
      </c>
      <c r="M106" t="str">
        <f>"HIT - Hongkong International Terminals"</f>
        <v>HIT - Hongkong International Terminals</v>
      </c>
      <c r="N106" t="str">
        <f t="shared" si="63"/>
        <v>HKG</v>
      </c>
      <c r="O106" t="str">
        <f>"1"</f>
        <v>1</v>
      </c>
      <c r="P106" t="str">
        <f>""</f>
        <v/>
      </c>
      <c r="Q106" t="str">
        <f>"085N"</f>
        <v>085N</v>
      </c>
      <c r="R106" t="str">
        <f>"085N"</f>
        <v>085N</v>
      </c>
      <c r="S106" t="str">
        <f>""</f>
        <v/>
      </c>
      <c r="T106" t="str">
        <f>"01 Aug 2019 04:00"</f>
        <v>01 Aug 2019 04:00</v>
      </c>
      <c r="U106" t="str">
        <f>"01 Aug 2019 05:00"</f>
        <v>01 Aug 2019 05:00</v>
      </c>
      <c r="V106" t="str">
        <f t="shared" ref="V106:V114" si="109">"1h"</f>
        <v>1h</v>
      </c>
      <c r="W106" t="str">
        <f>"01 Aug 2019 04:00"</f>
        <v>01 Aug 2019 04:00</v>
      </c>
      <c r="X106" t="str">
        <f>""</f>
        <v/>
      </c>
      <c r="Y106" t="str">
        <f>"01 Aug 2019 05:00"</f>
        <v>01 Aug 2019 05:00</v>
      </c>
      <c r="Z106" t="str">
        <f>""</f>
        <v/>
      </c>
      <c r="AA106" t="str">
        <f>""</f>
        <v/>
      </c>
      <c r="AB106" t="str">
        <f t="shared" si="64"/>
        <v>NN</v>
      </c>
      <c r="AC106" t="str">
        <f t="shared" si="91"/>
        <v>LL</v>
      </c>
      <c r="AD106" t="str">
        <f t="shared" si="92"/>
        <v>0</v>
      </c>
      <c r="AE106" t="str">
        <f t="shared" si="92"/>
        <v>0</v>
      </c>
      <c r="AF106" t="str">
        <f>"01 Aug 2019 04:00"</f>
        <v>01 Aug 2019 04:00</v>
      </c>
      <c r="AG106" t="str">
        <f>"01 Aug 2019 04:00"</f>
        <v>01 Aug 2019 04:00</v>
      </c>
      <c r="AH106" t="str">
        <f>"01 Aug 2019 04:00"</f>
        <v>01 Aug 2019 04:00</v>
      </c>
      <c r="AI106" t="str">
        <f>"01 Aug 2019 04:00"</f>
        <v>01 Aug 2019 04:00</v>
      </c>
      <c r="AJ106" t="str">
        <f>"01 Aug 2019 04:00"</f>
        <v>01 Aug 2019 04:00</v>
      </c>
      <c r="AK106" t="str">
        <f>"31 Jul 2019 00:00"</f>
        <v>31 Jul 2019 00:00</v>
      </c>
      <c r="AL106" t="str">
        <f>"31 Jul 2019 00:00"</f>
        <v>31 Jul 2019 00:00</v>
      </c>
      <c r="AM106" t="str">
        <f>"31 Jul 2019 00:00"</f>
        <v>31 Jul 2019 00:00</v>
      </c>
      <c r="AN106" t="str">
        <f>"31 Jul 2019 00:00"</f>
        <v>31 Jul 2019 00:00</v>
      </c>
      <c r="AO106" t="str">
        <f>"31 Jul 2019 00:00"</f>
        <v>31 Jul 2019 00:00</v>
      </c>
      <c r="AP106" t="str">
        <f>""</f>
        <v/>
      </c>
      <c r="AQ106" t="str">
        <f>"01 Aug 2019 04:00"</f>
        <v>01 Aug 2019 04:00</v>
      </c>
      <c r="AR106" t="str">
        <f t="shared" si="102"/>
        <v>Y</v>
      </c>
      <c r="AS106" t="str">
        <f t="shared" si="102"/>
        <v>Y</v>
      </c>
      <c r="AT106" t="str">
        <f t="shared" si="102"/>
        <v>Y</v>
      </c>
      <c r="AU106" t="str">
        <f t="shared" si="107"/>
        <v>N</v>
      </c>
      <c r="AV106" t="str">
        <f t="shared" si="107"/>
        <v>N</v>
      </c>
      <c r="AW106" t="str">
        <f>""</f>
        <v/>
      </c>
      <c r="AX106" t="str">
        <f t="shared" si="65"/>
        <v>No</v>
      </c>
      <c r="AY106" t="str">
        <f>""</f>
        <v/>
      </c>
      <c r="AZ106" t="s">
        <v>12</v>
      </c>
      <c r="BA106" t="s">
        <v>110</v>
      </c>
      <c r="BB106" t="s">
        <v>110</v>
      </c>
    </row>
    <row r="107" spans="1:54">
      <c r="A107" s="7" t="str">
        <f t="shared" si="66"/>
        <v>PHKG7JR154N</v>
      </c>
      <c r="B107" s="8" t="e">
        <f t="shared" si="67"/>
        <v>#VALUE!</v>
      </c>
      <c r="C107" t="str">
        <f t="shared" si="84"/>
        <v>PHKG</v>
      </c>
      <c r="D107" t="str">
        <f>"7JR"</f>
        <v>7JR</v>
      </c>
      <c r="E107" t="str">
        <f>"HUI HAI LONG 198"</f>
        <v>HUI HAI LONG 198</v>
      </c>
      <c r="F107" t="str">
        <f>""</f>
        <v/>
      </c>
      <c r="G107" t="str">
        <f t="shared" si="62"/>
        <v>OOCL</v>
      </c>
      <c r="H107" t="str">
        <f>""</f>
        <v/>
      </c>
      <c r="I107" t="str">
        <f>"154"</f>
        <v>154</v>
      </c>
      <c r="J107" t="str">
        <f>"N"</f>
        <v>N</v>
      </c>
      <c r="K107" t="str">
        <f>"1"</f>
        <v>1</v>
      </c>
      <c r="L107" t="str">
        <f>"HKG01"</f>
        <v>HKG01</v>
      </c>
      <c r="M107" t="str">
        <f>"Modern Terminal Limited (MTL)"</f>
        <v>Modern Terminal Limited (MTL)</v>
      </c>
      <c r="N107" t="str">
        <f t="shared" si="63"/>
        <v>HKG</v>
      </c>
      <c r="O107" t="str">
        <f>"1"</f>
        <v>1</v>
      </c>
      <c r="P107" t="str">
        <f>""</f>
        <v/>
      </c>
      <c r="Q107" t="str">
        <f t="shared" ref="Q107:R109" si="110">"154N"</f>
        <v>154N</v>
      </c>
      <c r="R107" t="str">
        <f t="shared" si="110"/>
        <v>154N</v>
      </c>
      <c r="S107" t="str">
        <f>""</f>
        <v/>
      </c>
      <c r="T107" t="str">
        <f>"01 Aug 2019 05:00"</f>
        <v>01 Aug 2019 05:00</v>
      </c>
      <c r="U107" t="str">
        <f>"01 Aug 2019 06:00"</f>
        <v>01 Aug 2019 06:00</v>
      </c>
      <c r="V107" t="str">
        <f t="shared" si="109"/>
        <v>1h</v>
      </c>
      <c r="W107" t="str">
        <f>"01 Aug 2019 05:00"</f>
        <v>01 Aug 2019 05:00</v>
      </c>
      <c r="X107" t="str">
        <f>""</f>
        <v/>
      </c>
      <c r="Y107" t="str">
        <f>"01 Aug 2019 06:00"</f>
        <v>01 Aug 2019 06:00</v>
      </c>
      <c r="Z107" t="str">
        <f>""</f>
        <v/>
      </c>
      <c r="AA107" t="str">
        <f>""</f>
        <v/>
      </c>
      <c r="AB107" t="str">
        <f t="shared" si="64"/>
        <v>NN</v>
      </c>
      <c r="AC107" t="str">
        <f t="shared" si="91"/>
        <v>LL</v>
      </c>
      <c r="AD107" t="str">
        <f t="shared" si="92"/>
        <v>0</v>
      </c>
      <c r="AE107" t="str">
        <f t="shared" si="92"/>
        <v>0</v>
      </c>
      <c r="AF107" t="str">
        <f t="shared" ref="AF107:AO107" si="111">"01 Aug 2019 05:00"</f>
        <v>01 Aug 2019 05:00</v>
      </c>
      <c r="AG107" t="str">
        <f t="shared" si="111"/>
        <v>01 Aug 2019 05:00</v>
      </c>
      <c r="AH107" t="str">
        <f t="shared" si="111"/>
        <v>01 Aug 2019 05:00</v>
      </c>
      <c r="AI107" t="str">
        <f t="shared" si="111"/>
        <v>01 Aug 2019 05:00</v>
      </c>
      <c r="AJ107" t="str">
        <f t="shared" si="111"/>
        <v>01 Aug 2019 05:00</v>
      </c>
      <c r="AK107" t="str">
        <f t="shared" si="111"/>
        <v>01 Aug 2019 05:00</v>
      </c>
      <c r="AL107" t="str">
        <f t="shared" si="111"/>
        <v>01 Aug 2019 05:00</v>
      </c>
      <c r="AM107" t="str">
        <f t="shared" si="111"/>
        <v>01 Aug 2019 05:00</v>
      </c>
      <c r="AN107" t="str">
        <f t="shared" si="111"/>
        <v>01 Aug 2019 05:00</v>
      </c>
      <c r="AO107" t="str">
        <f t="shared" si="111"/>
        <v>01 Aug 2019 05:00</v>
      </c>
      <c r="AP107" t="str">
        <f>""</f>
        <v/>
      </c>
      <c r="AQ107" t="str">
        <f>"01 Aug 2019 05:00"</f>
        <v>01 Aug 2019 05:00</v>
      </c>
      <c r="AR107" t="str">
        <f t="shared" si="102"/>
        <v>Y</v>
      </c>
      <c r="AS107" t="str">
        <f t="shared" si="102"/>
        <v>Y</v>
      </c>
      <c r="AT107" t="str">
        <f t="shared" si="102"/>
        <v>Y</v>
      </c>
      <c r="AU107" t="str">
        <f t="shared" si="107"/>
        <v>N</v>
      </c>
      <c r="AV107" t="str">
        <f t="shared" si="107"/>
        <v>N</v>
      </c>
      <c r="AW107" t="str">
        <f>""</f>
        <v/>
      </c>
      <c r="AX107" t="str">
        <f t="shared" si="65"/>
        <v>No</v>
      </c>
      <c r="AY107" t="str">
        <f>""</f>
        <v/>
      </c>
      <c r="AZ107" t="s">
        <v>12</v>
      </c>
      <c r="BA107" t="s">
        <v>110</v>
      </c>
      <c r="BB107" t="s">
        <v>110</v>
      </c>
    </row>
    <row r="108" spans="1:54">
      <c r="A108" s="7" t="str">
        <f t="shared" si="66"/>
        <v>PHKG7JR154N</v>
      </c>
      <c r="B108" s="8" t="e">
        <f t="shared" si="67"/>
        <v>#VALUE!</v>
      </c>
      <c r="C108" t="str">
        <f t="shared" si="84"/>
        <v>PHKG</v>
      </c>
      <c r="D108" t="str">
        <f>"7JR"</f>
        <v>7JR</v>
      </c>
      <c r="E108" t="str">
        <f>"HUI HAI LONG 198"</f>
        <v>HUI HAI LONG 198</v>
      </c>
      <c r="F108" t="str">
        <f>""</f>
        <v/>
      </c>
      <c r="G108" t="str">
        <f t="shared" si="62"/>
        <v>OOCL</v>
      </c>
      <c r="H108" t="str">
        <f>""</f>
        <v/>
      </c>
      <c r="I108" t="str">
        <f>"154"</f>
        <v>154</v>
      </c>
      <c r="J108" t="str">
        <f>"N"</f>
        <v>N</v>
      </c>
      <c r="K108" t="str">
        <f>"2"</f>
        <v>2</v>
      </c>
      <c r="L108" t="str">
        <f>"HKG02"</f>
        <v>HKG02</v>
      </c>
      <c r="M108" t="str">
        <f>"HIT - Hongkong International Terminals"</f>
        <v>HIT - Hongkong International Terminals</v>
      </c>
      <c r="N108" t="str">
        <f t="shared" si="63"/>
        <v>HKG</v>
      </c>
      <c r="O108" t="str">
        <f>"2"</f>
        <v>2</v>
      </c>
      <c r="P108" t="str">
        <f>""</f>
        <v/>
      </c>
      <c r="Q108" t="str">
        <f t="shared" si="110"/>
        <v>154N</v>
      </c>
      <c r="R108" t="str">
        <f t="shared" si="110"/>
        <v>154N</v>
      </c>
      <c r="S108" t="str">
        <f>""</f>
        <v/>
      </c>
      <c r="T108" t="str">
        <f>"01 Aug 2019 08:00"</f>
        <v>01 Aug 2019 08:00</v>
      </c>
      <c r="U108" t="str">
        <f>"01 Aug 2019 09:00"</f>
        <v>01 Aug 2019 09:00</v>
      </c>
      <c r="V108" t="str">
        <f t="shared" si="109"/>
        <v>1h</v>
      </c>
      <c r="W108" t="str">
        <f>"01 Aug 2019 08:00"</f>
        <v>01 Aug 2019 08:00</v>
      </c>
      <c r="X108" t="str">
        <f>""</f>
        <v/>
      </c>
      <c r="Y108" t="str">
        <f>"01 Aug 2019 09:00"</f>
        <v>01 Aug 2019 09:00</v>
      </c>
      <c r="Z108" t="str">
        <f>""</f>
        <v/>
      </c>
      <c r="AA108" t="str">
        <f>""</f>
        <v/>
      </c>
      <c r="AB108" t="str">
        <f t="shared" si="64"/>
        <v>NN</v>
      </c>
      <c r="AC108" t="str">
        <f t="shared" si="91"/>
        <v>LL</v>
      </c>
      <c r="AD108" t="str">
        <f t="shared" si="92"/>
        <v>0</v>
      </c>
      <c r="AE108" t="str">
        <f t="shared" si="92"/>
        <v>0</v>
      </c>
      <c r="AF108" t="str">
        <f t="shared" ref="AF108:AO108" si="112">"01 Aug 2019 08:00"</f>
        <v>01 Aug 2019 08:00</v>
      </c>
      <c r="AG108" t="str">
        <f t="shared" si="112"/>
        <v>01 Aug 2019 08:00</v>
      </c>
      <c r="AH108" t="str">
        <f t="shared" si="112"/>
        <v>01 Aug 2019 08:00</v>
      </c>
      <c r="AI108" t="str">
        <f t="shared" si="112"/>
        <v>01 Aug 2019 08:00</v>
      </c>
      <c r="AJ108" t="str">
        <f t="shared" si="112"/>
        <v>01 Aug 2019 08:00</v>
      </c>
      <c r="AK108" t="str">
        <f t="shared" si="112"/>
        <v>01 Aug 2019 08:00</v>
      </c>
      <c r="AL108" t="str">
        <f t="shared" si="112"/>
        <v>01 Aug 2019 08:00</v>
      </c>
      <c r="AM108" t="str">
        <f t="shared" si="112"/>
        <v>01 Aug 2019 08:00</v>
      </c>
      <c r="AN108" t="str">
        <f t="shared" si="112"/>
        <v>01 Aug 2019 08:00</v>
      </c>
      <c r="AO108" t="str">
        <f t="shared" si="112"/>
        <v>01 Aug 2019 08:00</v>
      </c>
      <c r="AP108" t="str">
        <f>""</f>
        <v/>
      </c>
      <c r="AQ108" t="str">
        <f>"01 Aug 2019 08:00"</f>
        <v>01 Aug 2019 08:00</v>
      </c>
      <c r="AR108" t="str">
        <f t="shared" si="102"/>
        <v>Y</v>
      </c>
      <c r="AS108" t="str">
        <f t="shared" si="102"/>
        <v>Y</v>
      </c>
      <c r="AT108" t="str">
        <f t="shared" si="102"/>
        <v>Y</v>
      </c>
      <c r="AU108" t="str">
        <f t="shared" si="107"/>
        <v>N</v>
      </c>
      <c r="AV108" t="str">
        <f t="shared" si="107"/>
        <v>N</v>
      </c>
      <c r="AW108" t="str">
        <f>""</f>
        <v/>
      </c>
      <c r="AX108" t="str">
        <f t="shared" si="65"/>
        <v>No</v>
      </c>
      <c r="AY108" t="str">
        <f>""</f>
        <v/>
      </c>
      <c r="AZ108" t="s">
        <v>12</v>
      </c>
      <c r="BA108" t="s">
        <v>110</v>
      </c>
      <c r="BB108" t="s">
        <v>127</v>
      </c>
    </row>
    <row r="109" spans="1:54">
      <c r="A109" s="7" t="str">
        <f t="shared" si="66"/>
        <v>PHKG7JR154N</v>
      </c>
      <c r="B109" s="8" t="e">
        <f t="shared" si="67"/>
        <v>#VALUE!</v>
      </c>
      <c r="C109" t="str">
        <f t="shared" si="84"/>
        <v>PHKG</v>
      </c>
      <c r="D109" t="str">
        <f>"7JR"</f>
        <v>7JR</v>
      </c>
      <c r="E109" t="str">
        <f>"HUI HAI LONG 198"</f>
        <v>HUI HAI LONG 198</v>
      </c>
      <c r="F109" t="str">
        <f>""</f>
        <v/>
      </c>
      <c r="G109" t="str">
        <f t="shared" si="62"/>
        <v>OOCL</v>
      </c>
      <c r="H109" t="str">
        <f>""</f>
        <v/>
      </c>
      <c r="I109" t="str">
        <f>"154"</f>
        <v>154</v>
      </c>
      <c r="J109" t="str">
        <f>"N"</f>
        <v>N</v>
      </c>
      <c r="K109" t="str">
        <f>"3"</f>
        <v>3</v>
      </c>
      <c r="L109" t="str">
        <f>"HKG13"</f>
        <v>HKG13</v>
      </c>
      <c r="M109" t="str">
        <f>"River Trade Terminal Co., Ltd"</f>
        <v>River Trade Terminal Co., Ltd</v>
      </c>
      <c r="N109" t="str">
        <f t="shared" si="63"/>
        <v>HKG</v>
      </c>
      <c r="O109" t="str">
        <f>"3"</f>
        <v>3</v>
      </c>
      <c r="P109" t="str">
        <f>""</f>
        <v/>
      </c>
      <c r="Q109" t="str">
        <f t="shared" si="110"/>
        <v>154N</v>
      </c>
      <c r="R109" t="str">
        <f t="shared" si="110"/>
        <v>154N</v>
      </c>
      <c r="S109" t="str">
        <f>""</f>
        <v/>
      </c>
      <c r="T109" t="str">
        <f>"01 Aug 2019 11:00"</f>
        <v>01 Aug 2019 11:00</v>
      </c>
      <c r="U109" t="str">
        <f>"01 Aug 2019 12:00"</f>
        <v>01 Aug 2019 12:00</v>
      </c>
      <c r="V109" t="str">
        <f t="shared" si="109"/>
        <v>1h</v>
      </c>
      <c r="W109" t="str">
        <f>"01 Aug 2019 11:00"</f>
        <v>01 Aug 2019 11:00</v>
      </c>
      <c r="X109" t="str">
        <f>""</f>
        <v/>
      </c>
      <c r="Y109" t="str">
        <f>"01 Aug 2019 12:00"</f>
        <v>01 Aug 2019 12:00</v>
      </c>
      <c r="Z109" t="str">
        <f>""</f>
        <v/>
      </c>
      <c r="AA109" t="str">
        <f>""</f>
        <v/>
      </c>
      <c r="AB109" t="str">
        <f t="shared" si="64"/>
        <v>NN</v>
      </c>
      <c r="AC109" t="str">
        <f t="shared" si="91"/>
        <v>LL</v>
      </c>
      <c r="AD109" t="str">
        <f t="shared" si="92"/>
        <v>0</v>
      </c>
      <c r="AE109" t="str">
        <f t="shared" si="92"/>
        <v>0</v>
      </c>
      <c r="AF109" t="str">
        <f t="shared" ref="AF109:AO109" si="113">"01 Aug 2019 11:00"</f>
        <v>01 Aug 2019 11:00</v>
      </c>
      <c r="AG109" t="str">
        <f t="shared" si="113"/>
        <v>01 Aug 2019 11:00</v>
      </c>
      <c r="AH109" t="str">
        <f t="shared" si="113"/>
        <v>01 Aug 2019 11:00</v>
      </c>
      <c r="AI109" t="str">
        <f t="shared" si="113"/>
        <v>01 Aug 2019 11:00</v>
      </c>
      <c r="AJ109" t="str">
        <f t="shared" si="113"/>
        <v>01 Aug 2019 11:00</v>
      </c>
      <c r="AK109" t="str">
        <f t="shared" si="113"/>
        <v>01 Aug 2019 11:00</v>
      </c>
      <c r="AL109" t="str">
        <f t="shared" si="113"/>
        <v>01 Aug 2019 11:00</v>
      </c>
      <c r="AM109" t="str">
        <f t="shared" si="113"/>
        <v>01 Aug 2019 11:00</v>
      </c>
      <c r="AN109" t="str">
        <f t="shared" si="113"/>
        <v>01 Aug 2019 11:00</v>
      </c>
      <c r="AO109" t="str">
        <f t="shared" si="113"/>
        <v>01 Aug 2019 11:00</v>
      </c>
      <c r="AP109" t="str">
        <f>""</f>
        <v/>
      </c>
      <c r="AQ109" t="str">
        <f>"01 Aug 2019 11:00"</f>
        <v>01 Aug 2019 11:00</v>
      </c>
      <c r="AR109" t="str">
        <f t="shared" si="102"/>
        <v>Y</v>
      </c>
      <c r="AS109" t="str">
        <f t="shared" si="102"/>
        <v>Y</v>
      </c>
      <c r="AT109" t="str">
        <f t="shared" si="102"/>
        <v>Y</v>
      </c>
      <c r="AU109" t="str">
        <f t="shared" si="107"/>
        <v>N</v>
      </c>
      <c r="AV109" t="str">
        <f t="shared" si="107"/>
        <v>N</v>
      </c>
      <c r="AW109" t="str">
        <f>""</f>
        <v/>
      </c>
      <c r="AX109" t="str">
        <f t="shared" si="65"/>
        <v>No</v>
      </c>
      <c r="AY109" t="str">
        <f>""</f>
        <v/>
      </c>
      <c r="AZ109" t="s">
        <v>12</v>
      </c>
      <c r="BA109" t="s">
        <v>110</v>
      </c>
      <c r="BB109" t="s">
        <v>110</v>
      </c>
    </row>
    <row r="110" spans="1:54">
      <c r="A110" s="7" t="str">
        <f t="shared" si="66"/>
        <v>PHKG5JJ257S</v>
      </c>
      <c r="B110" s="8" t="e">
        <f t="shared" si="67"/>
        <v>#VALUE!</v>
      </c>
      <c r="C110" t="str">
        <f t="shared" si="84"/>
        <v>PHKG</v>
      </c>
      <c r="D110" t="str">
        <f>"5JJ"</f>
        <v>5JJ</v>
      </c>
      <c r="E110" t="str">
        <f>"ZHONG HANG 921"</f>
        <v>ZHONG HANG 921</v>
      </c>
      <c r="F110" t="str">
        <f>""</f>
        <v/>
      </c>
      <c r="G110" t="str">
        <f t="shared" si="62"/>
        <v>OOCL</v>
      </c>
      <c r="H110" t="str">
        <f>""</f>
        <v/>
      </c>
      <c r="I110" t="str">
        <f>"257"</f>
        <v>257</v>
      </c>
      <c r="J110" t="str">
        <f t="shared" ref="J110:J124" si="114">"S"</f>
        <v>S</v>
      </c>
      <c r="K110" t="str">
        <f>"2"</f>
        <v>2</v>
      </c>
      <c r="L110" t="str">
        <f>"HKG01"</f>
        <v>HKG01</v>
      </c>
      <c r="M110" t="str">
        <f>"Modern Terminal Limited (MTL)"</f>
        <v>Modern Terminal Limited (MTL)</v>
      </c>
      <c r="N110" t="str">
        <f t="shared" si="63"/>
        <v>HKG</v>
      </c>
      <c r="O110" t="str">
        <f>"1"</f>
        <v>1</v>
      </c>
      <c r="P110" t="str">
        <f>""</f>
        <v/>
      </c>
      <c r="Q110" t="str">
        <f>"257S"</f>
        <v>257S</v>
      </c>
      <c r="R110" t="str">
        <f>"257S"</f>
        <v>257S</v>
      </c>
      <c r="S110" t="str">
        <f>""</f>
        <v/>
      </c>
      <c r="T110" t="str">
        <f>"01 Aug 2019 06:00"</f>
        <v>01 Aug 2019 06:00</v>
      </c>
      <c r="U110" t="str">
        <f>"01 Aug 2019 07:00"</f>
        <v>01 Aug 2019 07:00</v>
      </c>
      <c r="V110" t="str">
        <f t="shared" si="109"/>
        <v>1h</v>
      </c>
      <c r="W110" t="str">
        <f>"01 Aug 2019 06:00"</f>
        <v>01 Aug 2019 06:00</v>
      </c>
      <c r="X110" t="str">
        <f>""</f>
        <v/>
      </c>
      <c r="Y110" t="str">
        <f>"01 Aug 2019 07:00"</f>
        <v>01 Aug 2019 07:00</v>
      </c>
      <c r="Z110" t="str">
        <f>""</f>
        <v/>
      </c>
      <c r="AA110" t="str">
        <f>""</f>
        <v/>
      </c>
      <c r="AB110" t="str">
        <f t="shared" si="64"/>
        <v>NN</v>
      </c>
      <c r="AC110" t="str">
        <f t="shared" si="91"/>
        <v>LL</v>
      </c>
      <c r="AD110" t="str">
        <f t="shared" si="92"/>
        <v>0</v>
      </c>
      <c r="AE110" t="str">
        <f t="shared" si="92"/>
        <v>0</v>
      </c>
      <c r="AF110" t="str">
        <f t="shared" ref="AF110:AJ111" si="115">"01 Aug 2019 06:00"</f>
        <v>01 Aug 2019 06:00</v>
      </c>
      <c r="AG110" t="str">
        <f t="shared" si="115"/>
        <v>01 Aug 2019 06:00</v>
      </c>
      <c r="AH110" t="str">
        <f t="shared" si="115"/>
        <v>01 Aug 2019 06:00</v>
      </c>
      <c r="AI110" t="str">
        <f t="shared" si="115"/>
        <v>01 Aug 2019 06:00</v>
      </c>
      <c r="AJ110" t="str">
        <f t="shared" si="115"/>
        <v>01 Aug 2019 06:00</v>
      </c>
      <c r="AK110" t="str">
        <f t="shared" ref="AK110:AO112" si="116">"01 Aug 2019 07:00"</f>
        <v>01 Aug 2019 07:00</v>
      </c>
      <c r="AL110" t="str">
        <f t="shared" si="116"/>
        <v>01 Aug 2019 07:00</v>
      </c>
      <c r="AM110" t="str">
        <f t="shared" si="116"/>
        <v>01 Aug 2019 07:00</v>
      </c>
      <c r="AN110" t="str">
        <f t="shared" si="116"/>
        <v>01 Aug 2019 07:00</v>
      </c>
      <c r="AO110" t="str">
        <f t="shared" si="116"/>
        <v>01 Aug 2019 07:00</v>
      </c>
      <c r="AP110" t="str">
        <f>""</f>
        <v/>
      </c>
      <c r="AQ110" t="str">
        <f>"01 Aug 2019 06:00"</f>
        <v>01 Aug 2019 06:00</v>
      </c>
      <c r="AR110" t="str">
        <f t="shared" si="102"/>
        <v>Y</v>
      </c>
      <c r="AS110" t="str">
        <f t="shared" si="102"/>
        <v>Y</v>
      </c>
      <c r="AT110" t="str">
        <f t="shared" si="102"/>
        <v>Y</v>
      </c>
      <c r="AU110" t="str">
        <f t="shared" si="107"/>
        <v>N</v>
      </c>
      <c r="AV110" t="str">
        <f t="shared" si="107"/>
        <v>N</v>
      </c>
      <c r="AW110" t="str">
        <f>""</f>
        <v/>
      </c>
      <c r="AX110" t="str">
        <f t="shared" si="65"/>
        <v>No</v>
      </c>
      <c r="AY110" t="str">
        <f>""</f>
        <v/>
      </c>
      <c r="AZ110" t="s">
        <v>12</v>
      </c>
      <c r="BA110" t="s">
        <v>110</v>
      </c>
      <c r="BB110" t="s">
        <v>110</v>
      </c>
    </row>
    <row r="111" spans="1:54">
      <c r="A111" s="7" t="str">
        <f t="shared" si="66"/>
        <v>PHKGXV8939S</v>
      </c>
      <c r="B111" s="8" t="e">
        <f t="shared" si="67"/>
        <v>#VALUE!</v>
      </c>
      <c r="C111" t="str">
        <f t="shared" si="84"/>
        <v>PHKG</v>
      </c>
      <c r="D111" t="str">
        <f>"XV8"</f>
        <v>XV8</v>
      </c>
      <c r="E111" t="str">
        <f>"ZHONG HANG 933"</f>
        <v>ZHONG HANG 933</v>
      </c>
      <c r="F111" t="str">
        <f>""</f>
        <v/>
      </c>
      <c r="G111" t="str">
        <f t="shared" si="62"/>
        <v>OOCL</v>
      </c>
      <c r="H111" t="str">
        <f>""</f>
        <v/>
      </c>
      <c r="I111" t="str">
        <f>"939"</f>
        <v>939</v>
      </c>
      <c r="J111" t="str">
        <f t="shared" si="114"/>
        <v>S</v>
      </c>
      <c r="K111" t="str">
        <f>"2"</f>
        <v>2</v>
      </c>
      <c r="L111" t="str">
        <f>"HKG02"</f>
        <v>HKG02</v>
      </c>
      <c r="M111" t="str">
        <f>"HIT - Hongkong International Terminals"</f>
        <v>HIT - Hongkong International Terminals</v>
      </c>
      <c r="N111" t="str">
        <f t="shared" si="63"/>
        <v>HKG</v>
      </c>
      <c r="O111" t="str">
        <f>"1"</f>
        <v>1</v>
      </c>
      <c r="P111" t="str">
        <f>""</f>
        <v/>
      </c>
      <c r="Q111" t="str">
        <f>"939S"</f>
        <v>939S</v>
      </c>
      <c r="R111" t="str">
        <f>"939S"</f>
        <v>939S</v>
      </c>
      <c r="S111" t="str">
        <f>""</f>
        <v/>
      </c>
      <c r="T111" t="str">
        <f>"01 Aug 2019 06:00"</f>
        <v>01 Aug 2019 06:00</v>
      </c>
      <c r="U111" t="str">
        <f>"01 Aug 2019 07:00"</f>
        <v>01 Aug 2019 07:00</v>
      </c>
      <c r="V111" t="str">
        <f t="shared" si="109"/>
        <v>1h</v>
      </c>
      <c r="W111" t="str">
        <f>"01 Aug 2019 06:00"</f>
        <v>01 Aug 2019 06:00</v>
      </c>
      <c r="X111" t="str">
        <f>""</f>
        <v/>
      </c>
      <c r="Y111" t="str">
        <f>"01 Aug 2019 07:00"</f>
        <v>01 Aug 2019 07:00</v>
      </c>
      <c r="Z111" t="str">
        <f>""</f>
        <v/>
      </c>
      <c r="AA111" t="str">
        <f>""</f>
        <v/>
      </c>
      <c r="AB111" t="str">
        <f t="shared" si="64"/>
        <v>NN</v>
      </c>
      <c r="AC111" t="str">
        <f t="shared" si="91"/>
        <v>LL</v>
      </c>
      <c r="AD111" t="str">
        <f t="shared" si="92"/>
        <v>0</v>
      </c>
      <c r="AE111" t="str">
        <f t="shared" si="92"/>
        <v>0</v>
      </c>
      <c r="AF111" t="str">
        <f t="shared" si="115"/>
        <v>01 Aug 2019 06:00</v>
      </c>
      <c r="AG111" t="str">
        <f t="shared" si="115"/>
        <v>01 Aug 2019 06:00</v>
      </c>
      <c r="AH111" t="str">
        <f t="shared" si="115"/>
        <v>01 Aug 2019 06:00</v>
      </c>
      <c r="AI111" t="str">
        <f t="shared" si="115"/>
        <v>01 Aug 2019 06:00</v>
      </c>
      <c r="AJ111" t="str">
        <f t="shared" si="115"/>
        <v>01 Aug 2019 06:00</v>
      </c>
      <c r="AK111" t="str">
        <f t="shared" si="116"/>
        <v>01 Aug 2019 07:00</v>
      </c>
      <c r="AL111" t="str">
        <f t="shared" si="116"/>
        <v>01 Aug 2019 07:00</v>
      </c>
      <c r="AM111" t="str">
        <f t="shared" si="116"/>
        <v>01 Aug 2019 07:00</v>
      </c>
      <c r="AN111" t="str">
        <f t="shared" si="116"/>
        <v>01 Aug 2019 07:00</v>
      </c>
      <c r="AO111" t="str">
        <f t="shared" si="116"/>
        <v>01 Aug 2019 07:00</v>
      </c>
      <c r="AP111" t="str">
        <f>""</f>
        <v/>
      </c>
      <c r="AQ111" t="str">
        <f>"01 Aug 2019 06:00"</f>
        <v>01 Aug 2019 06:00</v>
      </c>
      <c r="AR111" t="str">
        <f t="shared" si="102"/>
        <v>Y</v>
      </c>
      <c r="AS111" t="str">
        <f t="shared" si="102"/>
        <v>Y</v>
      </c>
      <c r="AT111" t="str">
        <f t="shared" si="102"/>
        <v>Y</v>
      </c>
      <c r="AU111" t="str">
        <f t="shared" si="107"/>
        <v>N</v>
      </c>
      <c r="AV111" t="str">
        <f t="shared" si="107"/>
        <v>N</v>
      </c>
      <c r="AW111" t="str">
        <f>""</f>
        <v/>
      </c>
      <c r="AX111" t="str">
        <f t="shared" si="65"/>
        <v>No</v>
      </c>
      <c r="AY111" t="str">
        <f>""</f>
        <v/>
      </c>
      <c r="AZ111" t="s">
        <v>12</v>
      </c>
      <c r="BA111" t="s">
        <v>110</v>
      </c>
      <c r="BB111" t="s">
        <v>110</v>
      </c>
    </row>
    <row r="112" spans="1:54">
      <c r="A112" s="7" t="str">
        <f t="shared" si="66"/>
        <v>PHKG9AL250S</v>
      </c>
      <c r="B112" s="8" t="e">
        <f t="shared" si="67"/>
        <v>#VALUE!</v>
      </c>
      <c r="C112" t="str">
        <f t="shared" si="84"/>
        <v>PHKG</v>
      </c>
      <c r="D112" t="str">
        <f>"9AL"</f>
        <v>9AL</v>
      </c>
      <c r="E112" t="str">
        <f>"RONG JING 02"</f>
        <v>RONG JING 02</v>
      </c>
      <c r="F112" t="str">
        <f>""</f>
        <v/>
      </c>
      <c r="G112" t="str">
        <f t="shared" si="62"/>
        <v>OOCL</v>
      </c>
      <c r="H112" t="str">
        <f>""</f>
        <v/>
      </c>
      <c r="I112" t="str">
        <f>"250"</f>
        <v>250</v>
      </c>
      <c r="J112" t="str">
        <f t="shared" si="114"/>
        <v>S</v>
      </c>
      <c r="K112" t="str">
        <f>"2"</f>
        <v>2</v>
      </c>
      <c r="L112" t="str">
        <f>"HKG01"</f>
        <v>HKG01</v>
      </c>
      <c r="M112" t="str">
        <f>"Modern Terminal Limited (MTL)"</f>
        <v>Modern Terminal Limited (MTL)</v>
      </c>
      <c r="N112" t="str">
        <f t="shared" si="63"/>
        <v>HKG</v>
      </c>
      <c r="O112" t="str">
        <f>"1"</f>
        <v>1</v>
      </c>
      <c r="P112" t="str">
        <f>""</f>
        <v/>
      </c>
      <c r="Q112" t="str">
        <f>"250S"</f>
        <v>250S</v>
      </c>
      <c r="R112" t="str">
        <f>"250S"</f>
        <v>250S</v>
      </c>
      <c r="S112" t="str">
        <f>""</f>
        <v/>
      </c>
      <c r="T112" t="str">
        <f>"01 Aug 2019 07:00"</f>
        <v>01 Aug 2019 07:00</v>
      </c>
      <c r="U112" t="str">
        <f>"01 Aug 2019 08:00"</f>
        <v>01 Aug 2019 08:00</v>
      </c>
      <c r="V112" t="str">
        <f t="shared" si="109"/>
        <v>1h</v>
      </c>
      <c r="W112" t="str">
        <f>"01 Aug 2019 07:00"</f>
        <v>01 Aug 2019 07:00</v>
      </c>
      <c r="X112" t="str">
        <f>""</f>
        <v/>
      </c>
      <c r="Y112" t="str">
        <f>"01 Aug 2019 08:00"</f>
        <v>01 Aug 2019 08:00</v>
      </c>
      <c r="Z112" t="str">
        <f>""</f>
        <v/>
      </c>
      <c r="AA112" t="str">
        <f>""</f>
        <v/>
      </c>
      <c r="AB112" t="str">
        <f t="shared" si="64"/>
        <v>NN</v>
      </c>
      <c r="AC112" t="str">
        <f t="shared" si="91"/>
        <v>LL</v>
      </c>
      <c r="AD112" t="str">
        <f t="shared" si="92"/>
        <v>0</v>
      </c>
      <c r="AE112" t="str">
        <f t="shared" si="92"/>
        <v>0</v>
      </c>
      <c r="AF112" t="str">
        <f>"01 Aug 2019 07:00"</f>
        <v>01 Aug 2019 07:00</v>
      </c>
      <c r="AG112" t="str">
        <f>"01 Aug 2019 07:00"</f>
        <v>01 Aug 2019 07:00</v>
      </c>
      <c r="AH112" t="str">
        <f>"01 Aug 2019 07:00"</f>
        <v>01 Aug 2019 07:00</v>
      </c>
      <c r="AI112" t="str">
        <f>"01 Aug 2019 07:00"</f>
        <v>01 Aug 2019 07:00</v>
      </c>
      <c r="AJ112" t="str">
        <f>"01 Aug 2019 07:00"</f>
        <v>01 Aug 2019 07:00</v>
      </c>
      <c r="AK112" t="str">
        <f t="shared" si="116"/>
        <v>01 Aug 2019 07:00</v>
      </c>
      <c r="AL112" t="str">
        <f t="shared" si="116"/>
        <v>01 Aug 2019 07:00</v>
      </c>
      <c r="AM112" t="str">
        <f t="shared" si="116"/>
        <v>01 Aug 2019 07:00</v>
      </c>
      <c r="AN112" t="str">
        <f t="shared" si="116"/>
        <v>01 Aug 2019 07:00</v>
      </c>
      <c r="AO112" t="str">
        <f t="shared" si="116"/>
        <v>01 Aug 2019 07:00</v>
      </c>
      <c r="AP112" t="str">
        <f>""</f>
        <v/>
      </c>
      <c r="AQ112" t="str">
        <f>"01 Aug 2019 07:00"</f>
        <v>01 Aug 2019 07:00</v>
      </c>
      <c r="AR112" t="str">
        <f t="shared" si="102"/>
        <v>Y</v>
      </c>
      <c r="AS112" t="str">
        <f t="shared" si="102"/>
        <v>Y</v>
      </c>
      <c r="AT112" t="str">
        <f t="shared" si="102"/>
        <v>Y</v>
      </c>
      <c r="AU112" t="str">
        <f t="shared" si="107"/>
        <v>N</v>
      </c>
      <c r="AV112" t="str">
        <f t="shared" si="107"/>
        <v>N</v>
      </c>
      <c r="AW112" t="str">
        <f>""</f>
        <v/>
      </c>
      <c r="AX112" t="str">
        <f t="shared" si="65"/>
        <v>No</v>
      </c>
      <c r="AY112" t="str">
        <f>""</f>
        <v/>
      </c>
      <c r="AZ112" t="s">
        <v>12</v>
      </c>
      <c r="BA112" t="s">
        <v>110</v>
      </c>
      <c r="BB112" t="s">
        <v>110</v>
      </c>
    </row>
    <row r="113" spans="1:54">
      <c r="A113" s="7" t="str">
        <f t="shared" si="66"/>
        <v>PHKG9AL250S</v>
      </c>
      <c r="B113" s="8" t="e">
        <f t="shared" si="67"/>
        <v>#VALUE!</v>
      </c>
      <c r="C113" t="str">
        <f t="shared" si="84"/>
        <v>PHKG</v>
      </c>
      <c r="D113" t="str">
        <f>"9AL"</f>
        <v>9AL</v>
      </c>
      <c r="E113" t="str">
        <f>"RONG JING 02"</f>
        <v>RONG JING 02</v>
      </c>
      <c r="F113" t="str">
        <f>""</f>
        <v/>
      </c>
      <c r="G113" t="str">
        <f t="shared" si="62"/>
        <v>OOCL</v>
      </c>
      <c r="H113" t="str">
        <f>""</f>
        <v/>
      </c>
      <c r="I113" t="str">
        <f>"250"</f>
        <v>250</v>
      </c>
      <c r="J113" t="str">
        <f t="shared" si="114"/>
        <v>S</v>
      </c>
      <c r="K113" t="str">
        <f>"3"</f>
        <v>3</v>
      </c>
      <c r="L113" t="str">
        <f t="shared" ref="L113:L127" si="117">"HKG02"</f>
        <v>HKG02</v>
      </c>
      <c r="M113" t="str">
        <f t="shared" ref="M113:M127" si="118">"HIT - Hongkong International Terminals"</f>
        <v>HIT - Hongkong International Terminals</v>
      </c>
      <c r="N113" t="str">
        <f t="shared" si="63"/>
        <v>HKG</v>
      </c>
      <c r="O113" t="str">
        <f>"2"</f>
        <v>2</v>
      </c>
      <c r="P113" t="str">
        <f>""</f>
        <v/>
      </c>
      <c r="Q113" t="str">
        <f>"250S"</f>
        <v>250S</v>
      </c>
      <c r="R113" t="str">
        <f>"250S"</f>
        <v>250S</v>
      </c>
      <c r="S113" t="str">
        <f>""</f>
        <v/>
      </c>
      <c r="T113" t="str">
        <f>"01 Aug 2019 13:00"</f>
        <v>01 Aug 2019 13:00</v>
      </c>
      <c r="U113" t="str">
        <f>"01 Aug 2019 14:00"</f>
        <v>01 Aug 2019 14:00</v>
      </c>
      <c r="V113" t="str">
        <f t="shared" si="109"/>
        <v>1h</v>
      </c>
      <c r="W113" t="str">
        <f>"01 Aug 2019 13:00"</f>
        <v>01 Aug 2019 13:00</v>
      </c>
      <c r="X113" t="str">
        <f>""</f>
        <v/>
      </c>
      <c r="Y113" t="str">
        <f>"01 Aug 2019 14:00"</f>
        <v>01 Aug 2019 14:00</v>
      </c>
      <c r="Z113" t="str">
        <f>""</f>
        <v/>
      </c>
      <c r="AA113" t="str">
        <f>""</f>
        <v/>
      </c>
      <c r="AB113" t="str">
        <f t="shared" si="64"/>
        <v>NN</v>
      </c>
      <c r="AC113" t="str">
        <f t="shared" si="91"/>
        <v>LL</v>
      </c>
      <c r="AD113" t="str">
        <f t="shared" si="92"/>
        <v>0</v>
      </c>
      <c r="AE113" t="str">
        <f t="shared" si="92"/>
        <v>0</v>
      </c>
      <c r="AF113" t="str">
        <f>"01 Aug 2019 13:00"</f>
        <v>01 Aug 2019 13:00</v>
      </c>
      <c r="AG113" t="str">
        <f>"01 Aug 2019 13:00"</f>
        <v>01 Aug 2019 13:00</v>
      </c>
      <c r="AH113" t="str">
        <f>"01 Aug 2019 13:00"</f>
        <v>01 Aug 2019 13:00</v>
      </c>
      <c r="AI113" t="str">
        <f>"01 Aug 2019 13:00"</f>
        <v>01 Aug 2019 13:00</v>
      </c>
      <c r="AJ113" t="str">
        <f>"01 Aug 2019 13:00"</f>
        <v>01 Aug 2019 13:00</v>
      </c>
      <c r="AK113" t="str">
        <f>"01 Aug 2019 14:00"</f>
        <v>01 Aug 2019 14:00</v>
      </c>
      <c r="AL113" t="str">
        <f>"01 Aug 2019 14:00"</f>
        <v>01 Aug 2019 14:00</v>
      </c>
      <c r="AM113" t="str">
        <f>"01 Aug 2019 14:00"</f>
        <v>01 Aug 2019 14:00</v>
      </c>
      <c r="AN113" t="str">
        <f>"01 Aug 2019 14:00"</f>
        <v>01 Aug 2019 14:00</v>
      </c>
      <c r="AO113" t="str">
        <f>"01 Aug 2019 14:00"</f>
        <v>01 Aug 2019 14:00</v>
      </c>
      <c r="AP113" t="str">
        <f>""</f>
        <v/>
      </c>
      <c r="AQ113" t="str">
        <f>"01 Aug 2019 13:00"</f>
        <v>01 Aug 2019 13:00</v>
      </c>
      <c r="AR113" t="str">
        <f t="shared" si="102"/>
        <v>Y</v>
      </c>
      <c r="AS113" t="str">
        <f t="shared" si="102"/>
        <v>Y</v>
      </c>
      <c r="AT113" t="str">
        <f t="shared" si="102"/>
        <v>Y</v>
      </c>
      <c r="AU113" t="str">
        <f t="shared" si="107"/>
        <v>N</v>
      </c>
      <c r="AV113" t="str">
        <f t="shared" si="107"/>
        <v>N</v>
      </c>
      <c r="AW113" t="str">
        <f>""</f>
        <v/>
      </c>
      <c r="AX113" t="str">
        <f t="shared" si="65"/>
        <v>No</v>
      </c>
      <c r="AY113" t="str">
        <f>""</f>
        <v/>
      </c>
      <c r="AZ113" t="s">
        <v>12</v>
      </c>
      <c r="BA113" t="s">
        <v>115</v>
      </c>
      <c r="BB113" t="s">
        <v>110</v>
      </c>
    </row>
    <row r="114" spans="1:54">
      <c r="A114" s="7" t="str">
        <f t="shared" si="66"/>
        <v>PHKGFD3298S</v>
      </c>
      <c r="B114" s="8" t="e">
        <f t="shared" si="67"/>
        <v>#VALUE!</v>
      </c>
      <c r="C114" t="str">
        <f t="shared" si="84"/>
        <v>PHKG</v>
      </c>
      <c r="D114" t="str">
        <f>"FD3"</f>
        <v>FD3</v>
      </c>
      <c r="E114" t="str">
        <f>"ZHONG HANG 905"</f>
        <v>ZHONG HANG 905</v>
      </c>
      <c r="F114" t="str">
        <f>""</f>
        <v/>
      </c>
      <c r="G114" t="str">
        <f t="shared" si="62"/>
        <v>OOCL</v>
      </c>
      <c r="H114" t="str">
        <f>""</f>
        <v/>
      </c>
      <c r="I114" t="str">
        <f>"298"</f>
        <v>298</v>
      </c>
      <c r="J114" t="str">
        <f t="shared" si="114"/>
        <v>S</v>
      </c>
      <c r="K114" t="str">
        <f t="shared" ref="K114:K120" si="119">"2"</f>
        <v>2</v>
      </c>
      <c r="L114" t="str">
        <f t="shared" si="117"/>
        <v>HKG02</v>
      </c>
      <c r="M114" t="str">
        <f t="shared" si="118"/>
        <v>HIT - Hongkong International Terminals</v>
      </c>
      <c r="N114" t="str">
        <f t="shared" si="63"/>
        <v>HKG</v>
      </c>
      <c r="O114" t="str">
        <f t="shared" ref="O114:O127" si="120">"1"</f>
        <v>1</v>
      </c>
      <c r="P114" t="str">
        <f>""</f>
        <v/>
      </c>
      <c r="Q114" t="str">
        <f>"298S"</f>
        <v>298S</v>
      </c>
      <c r="R114" t="str">
        <f>"298S"</f>
        <v>298S</v>
      </c>
      <c r="S114" t="str">
        <f>""</f>
        <v/>
      </c>
      <c r="T114" t="str">
        <f>"01 Aug 2019 08:00"</f>
        <v>01 Aug 2019 08:00</v>
      </c>
      <c r="U114" t="str">
        <f>"01 Aug 2019 09:00"</f>
        <v>01 Aug 2019 09:00</v>
      </c>
      <c r="V114" t="str">
        <f t="shared" si="109"/>
        <v>1h</v>
      </c>
      <c r="W114" t="str">
        <f>"01 Aug 2019 08:00"</f>
        <v>01 Aug 2019 08:00</v>
      </c>
      <c r="X114" t="str">
        <f>""</f>
        <v/>
      </c>
      <c r="Y114" t="str">
        <f>"01 Aug 2019 09:00"</f>
        <v>01 Aug 2019 09:00</v>
      </c>
      <c r="Z114" t="str">
        <f>""</f>
        <v/>
      </c>
      <c r="AA114" t="str">
        <f>""</f>
        <v/>
      </c>
      <c r="AB114" t="str">
        <f t="shared" si="64"/>
        <v>NN</v>
      </c>
      <c r="AC114" t="str">
        <f t="shared" si="91"/>
        <v>LL</v>
      </c>
      <c r="AD114" t="str">
        <f t="shared" si="92"/>
        <v>0</v>
      </c>
      <c r="AE114" t="str">
        <f t="shared" si="92"/>
        <v>0</v>
      </c>
      <c r="AF114" t="str">
        <f>"01 Aug 2019 08:00"</f>
        <v>01 Aug 2019 08:00</v>
      </c>
      <c r="AG114" t="str">
        <f>"01 Aug 2019 08:00"</f>
        <v>01 Aug 2019 08:00</v>
      </c>
      <c r="AH114" t="str">
        <f>"01 Aug 2019 08:00"</f>
        <v>01 Aug 2019 08:00</v>
      </c>
      <c r="AI114" t="str">
        <f>"01 Aug 2019 08:00"</f>
        <v>01 Aug 2019 08:00</v>
      </c>
      <c r="AJ114" t="str">
        <f>"01 Aug 2019 08:00"</f>
        <v>01 Aug 2019 08:00</v>
      </c>
      <c r="AK114" t="str">
        <f t="shared" ref="AK114:AO115" si="121">"01 Aug 2019 09:00"</f>
        <v>01 Aug 2019 09:00</v>
      </c>
      <c r="AL114" t="str">
        <f t="shared" si="121"/>
        <v>01 Aug 2019 09:00</v>
      </c>
      <c r="AM114" t="str">
        <f t="shared" si="121"/>
        <v>01 Aug 2019 09:00</v>
      </c>
      <c r="AN114" t="str">
        <f t="shared" si="121"/>
        <v>01 Aug 2019 09:00</v>
      </c>
      <c r="AO114" t="str">
        <f t="shared" si="121"/>
        <v>01 Aug 2019 09:00</v>
      </c>
      <c r="AP114" t="str">
        <f>""</f>
        <v/>
      </c>
      <c r="AQ114" t="str">
        <f>"01 Aug 2019 08:00"</f>
        <v>01 Aug 2019 08:00</v>
      </c>
      <c r="AR114" t="str">
        <f t="shared" si="102"/>
        <v>Y</v>
      </c>
      <c r="AS114" t="str">
        <f t="shared" si="102"/>
        <v>Y</v>
      </c>
      <c r="AT114" t="str">
        <f t="shared" si="102"/>
        <v>Y</v>
      </c>
      <c r="AU114" t="str">
        <f t="shared" si="107"/>
        <v>N</v>
      </c>
      <c r="AV114" t="str">
        <f t="shared" si="107"/>
        <v>N</v>
      </c>
      <c r="AW114" t="str">
        <f>""</f>
        <v/>
      </c>
      <c r="AX114" t="str">
        <f t="shared" si="65"/>
        <v>No</v>
      </c>
      <c r="AY114" t="str">
        <f>""</f>
        <v/>
      </c>
      <c r="AZ114" t="s">
        <v>12</v>
      </c>
      <c r="BA114" t="s">
        <v>110</v>
      </c>
      <c r="BB114" t="s">
        <v>110</v>
      </c>
    </row>
    <row r="115" spans="1:54">
      <c r="A115" s="7" t="str">
        <f t="shared" si="66"/>
        <v>PHKGWM4925S</v>
      </c>
      <c r="B115" s="8" t="e">
        <f t="shared" si="67"/>
        <v>#VALUE!</v>
      </c>
      <c r="C115" t="str">
        <f t="shared" si="84"/>
        <v>PHKG</v>
      </c>
      <c r="D115" t="str">
        <f>"WM4"</f>
        <v>WM4</v>
      </c>
      <c r="E115" t="str">
        <f>"ZHONG HANG 929"</f>
        <v>ZHONG HANG 929</v>
      </c>
      <c r="F115" t="str">
        <f>""</f>
        <v/>
      </c>
      <c r="G115" t="str">
        <f t="shared" si="62"/>
        <v>OOCL</v>
      </c>
      <c r="H115" t="str">
        <f>""</f>
        <v/>
      </c>
      <c r="I115" t="str">
        <f>"925"</f>
        <v>925</v>
      </c>
      <c r="J115" t="str">
        <f t="shared" si="114"/>
        <v>S</v>
      </c>
      <c r="K115" t="str">
        <f t="shared" si="119"/>
        <v>2</v>
      </c>
      <c r="L115" t="str">
        <f t="shared" si="117"/>
        <v>HKG02</v>
      </c>
      <c r="M115" t="str">
        <f t="shared" si="118"/>
        <v>HIT - Hongkong International Terminals</v>
      </c>
      <c r="N115" t="str">
        <f t="shared" si="63"/>
        <v>HKG</v>
      </c>
      <c r="O115" t="str">
        <f t="shared" si="120"/>
        <v>1</v>
      </c>
      <c r="P115" t="str">
        <f>""</f>
        <v/>
      </c>
      <c r="Q115" t="str">
        <f>"925S"</f>
        <v>925S</v>
      </c>
      <c r="R115" t="str">
        <f>"925S"</f>
        <v>925S</v>
      </c>
      <c r="S115" t="str">
        <f>""</f>
        <v/>
      </c>
      <c r="T115" t="str">
        <f>"01 Aug 2019 07:00"</f>
        <v>01 Aug 2019 07:00</v>
      </c>
      <c r="U115" t="str">
        <f>"01 Aug 2019 09:00"</f>
        <v>01 Aug 2019 09:00</v>
      </c>
      <c r="V115" t="str">
        <f>"2h"</f>
        <v>2h</v>
      </c>
      <c r="W115" t="str">
        <f>"01 Aug 2019 07:00"</f>
        <v>01 Aug 2019 07:00</v>
      </c>
      <c r="X115" t="str">
        <f>""</f>
        <v/>
      </c>
      <c r="Y115" t="str">
        <f>"01 Aug 2019 09:00"</f>
        <v>01 Aug 2019 09:00</v>
      </c>
      <c r="Z115" t="str">
        <f>""</f>
        <v/>
      </c>
      <c r="AA115" t="str">
        <f>""</f>
        <v/>
      </c>
      <c r="AB115" t="str">
        <f t="shared" si="64"/>
        <v>NN</v>
      </c>
      <c r="AC115" t="str">
        <f t="shared" si="91"/>
        <v>LL</v>
      </c>
      <c r="AD115" t="str">
        <f t="shared" si="92"/>
        <v>0</v>
      </c>
      <c r="AE115" t="str">
        <f t="shared" si="92"/>
        <v>0</v>
      </c>
      <c r="AF115" t="str">
        <f>"01 Aug 2019 07:00"</f>
        <v>01 Aug 2019 07:00</v>
      </c>
      <c r="AG115" t="str">
        <f>"01 Aug 2019 07:00"</f>
        <v>01 Aug 2019 07:00</v>
      </c>
      <c r="AH115" t="str">
        <f>"01 Aug 2019 07:00"</f>
        <v>01 Aug 2019 07:00</v>
      </c>
      <c r="AI115" t="str">
        <f>"01 Aug 2019 07:00"</f>
        <v>01 Aug 2019 07:00</v>
      </c>
      <c r="AJ115" t="str">
        <f>"01 Aug 2019 07:00"</f>
        <v>01 Aug 2019 07:00</v>
      </c>
      <c r="AK115" t="str">
        <f t="shared" si="121"/>
        <v>01 Aug 2019 09:00</v>
      </c>
      <c r="AL115" t="str">
        <f t="shared" si="121"/>
        <v>01 Aug 2019 09:00</v>
      </c>
      <c r="AM115" t="str">
        <f t="shared" si="121"/>
        <v>01 Aug 2019 09:00</v>
      </c>
      <c r="AN115" t="str">
        <f t="shared" si="121"/>
        <v>01 Aug 2019 09:00</v>
      </c>
      <c r="AO115" t="str">
        <f t="shared" si="121"/>
        <v>01 Aug 2019 09:00</v>
      </c>
      <c r="AP115" t="str">
        <f>""</f>
        <v/>
      </c>
      <c r="AQ115" t="str">
        <f>"01 Aug 2019 07:00"</f>
        <v>01 Aug 2019 07:00</v>
      </c>
      <c r="AR115" t="str">
        <f t="shared" si="102"/>
        <v>Y</v>
      </c>
      <c r="AS115" t="str">
        <f t="shared" si="102"/>
        <v>Y</v>
      </c>
      <c r="AT115" t="str">
        <f t="shared" si="102"/>
        <v>Y</v>
      </c>
      <c r="AU115" t="str">
        <f t="shared" si="107"/>
        <v>N</v>
      </c>
      <c r="AV115" t="str">
        <f t="shared" si="107"/>
        <v>N</v>
      </c>
      <c r="AW115" t="str">
        <f>""</f>
        <v/>
      </c>
      <c r="AX115" t="str">
        <f t="shared" si="65"/>
        <v>No</v>
      </c>
      <c r="AY115" t="str">
        <f>""</f>
        <v/>
      </c>
      <c r="AZ115" t="s">
        <v>12</v>
      </c>
      <c r="BA115" t="s">
        <v>110</v>
      </c>
      <c r="BB115" t="s">
        <v>110</v>
      </c>
    </row>
    <row r="116" spans="1:54">
      <c r="A116" s="7" t="str">
        <f t="shared" si="66"/>
        <v>PHKG6EH249S</v>
      </c>
      <c r="B116" s="8" t="e">
        <f t="shared" si="67"/>
        <v>#VALUE!</v>
      </c>
      <c r="C116" t="str">
        <f t="shared" si="84"/>
        <v>PHKG</v>
      </c>
      <c r="D116" t="str">
        <f>"6EH"</f>
        <v>6EH</v>
      </c>
      <c r="E116" t="str">
        <f>"JIN LONG 32"</f>
        <v>JIN LONG 32</v>
      </c>
      <c r="F116" t="str">
        <f>""</f>
        <v/>
      </c>
      <c r="G116" t="str">
        <f t="shared" si="62"/>
        <v>OOCL</v>
      </c>
      <c r="H116" t="str">
        <f>""</f>
        <v/>
      </c>
      <c r="I116" t="str">
        <f>"249"</f>
        <v>249</v>
      </c>
      <c r="J116" t="str">
        <f t="shared" si="114"/>
        <v>S</v>
      </c>
      <c r="K116" t="str">
        <f t="shared" si="119"/>
        <v>2</v>
      </c>
      <c r="L116" t="str">
        <f t="shared" si="117"/>
        <v>HKG02</v>
      </c>
      <c r="M116" t="str">
        <f t="shared" si="118"/>
        <v>HIT - Hongkong International Terminals</v>
      </c>
      <c r="N116" t="str">
        <f t="shared" si="63"/>
        <v>HKG</v>
      </c>
      <c r="O116" t="str">
        <f t="shared" si="120"/>
        <v>1</v>
      </c>
      <c r="P116" t="str">
        <f>""</f>
        <v/>
      </c>
      <c r="Q116" t="str">
        <f>"249S"</f>
        <v>249S</v>
      </c>
      <c r="R116" t="str">
        <f>"249S"</f>
        <v>249S</v>
      </c>
      <c r="S116" t="str">
        <f>""</f>
        <v/>
      </c>
      <c r="T116" t="str">
        <f>"01 Aug 2019 09:00"</f>
        <v>01 Aug 2019 09:00</v>
      </c>
      <c r="U116" t="str">
        <f>"01 Aug 2019 10:00"</f>
        <v>01 Aug 2019 10:00</v>
      </c>
      <c r="V116" t="str">
        <f>"1h"</f>
        <v>1h</v>
      </c>
      <c r="W116" t="str">
        <f>"01 Aug 2019 09:00"</f>
        <v>01 Aug 2019 09:00</v>
      </c>
      <c r="X116" t="str">
        <f>""</f>
        <v/>
      </c>
      <c r="Y116" t="str">
        <f>"01 Aug 2019 10:00"</f>
        <v>01 Aug 2019 10:00</v>
      </c>
      <c r="Z116" t="str">
        <f>""</f>
        <v/>
      </c>
      <c r="AA116" t="str">
        <f>""</f>
        <v/>
      </c>
      <c r="AB116" t="str">
        <f t="shared" si="64"/>
        <v>NN</v>
      </c>
      <c r="AC116" t="str">
        <f t="shared" si="91"/>
        <v>LL</v>
      </c>
      <c r="AD116" t="str">
        <f t="shared" si="92"/>
        <v>0</v>
      </c>
      <c r="AE116" t="str">
        <f t="shared" si="92"/>
        <v>0</v>
      </c>
      <c r="AF116" t="str">
        <f t="shared" ref="AF116:AJ118" si="122">"01 Aug 2019 09:00"</f>
        <v>01 Aug 2019 09:00</v>
      </c>
      <c r="AG116" t="str">
        <f t="shared" si="122"/>
        <v>01 Aug 2019 09:00</v>
      </c>
      <c r="AH116" t="str">
        <f t="shared" si="122"/>
        <v>01 Aug 2019 09:00</v>
      </c>
      <c r="AI116" t="str">
        <f t="shared" si="122"/>
        <v>01 Aug 2019 09:00</v>
      </c>
      <c r="AJ116" t="str">
        <f t="shared" si="122"/>
        <v>01 Aug 2019 09:00</v>
      </c>
      <c r="AK116" t="str">
        <f t="shared" ref="AK116:AO117" si="123">"01 Aug 2019 10:00"</f>
        <v>01 Aug 2019 10:00</v>
      </c>
      <c r="AL116" t="str">
        <f t="shared" si="123"/>
        <v>01 Aug 2019 10:00</v>
      </c>
      <c r="AM116" t="str">
        <f t="shared" si="123"/>
        <v>01 Aug 2019 10:00</v>
      </c>
      <c r="AN116" t="str">
        <f t="shared" si="123"/>
        <v>01 Aug 2019 10:00</v>
      </c>
      <c r="AO116" t="str">
        <f t="shared" si="123"/>
        <v>01 Aug 2019 10:00</v>
      </c>
      <c r="AP116" t="str">
        <f>""</f>
        <v/>
      </c>
      <c r="AQ116" t="str">
        <f>"01 Aug 2019 09:00"</f>
        <v>01 Aug 2019 09:00</v>
      </c>
      <c r="AR116" t="str">
        <f t="shared" si="102"/>
        <v>Y</v>
      </c>
      <c r="AS116" t="str">
        <f t="shared" si="102"/>
        <v>Y</v>
      </c>
      <c r="AT116" t="str">
        <f t="shared" si="102"/>
        <v>Y</v>
      </c>
      <c r="AU116" t="str">
        <f t="shared" si="107"/>
        <v>N</v>
      </c>
      <c r="AV116" t="str">
        <f t="shared" si="107"/>
        <v>N</v>
      </c>
      <c r="AW116" t="str">
        <f>""</f>
        <v/>
      </c>
      <c r="AX116" t="str">
        <f t="shared" si="65"/>
        <v>No</v>
      </c>
      <c r="AY116" t="str">
        <f>""</f>
        <v/>
      </c>
      <c r="AZ116" t="s">
        <v>12</v>
      </c>
      <c r="BA116" t="s">
        <v>110</v>
      </c>
      <c r="BB116" t="s">
        <v>110</v>
      </c>
    </row>
    <row r="117" spans="1:54">
      <c r="A117" s="7" t="str">
        <f t="shared" si="66"/>
        <v>PHKG8RF127S</v>
      </c>
      <c r="B117" s="8" t="e">
        <f t="shared" si="67"/>
        <v>#VALUE!</v>
      </c>
      <c r="C117" t="str">
        <f t="shared" si="84"/>
        <v>PHKG</v>
      </c>
      <c r="D117" t="str">
        <f>"8RF"</f>
        <v>8RF</v>
      </c>
      <c r="E117" t="str">
        <f>"ZHI HANG 58"</f>
        <v>ZHI HANG 58</v>
      </c>
      <c r="F117" t="str">
        <f>""</f>
        <v/>
      </c>
      <c r="G117" t="str">
        <f t="shared" si="62"/>
        <v>OOCL</v>
      </c>
      <c r="H117" t="str">
        <f>""</f>
        <v/>
      </c>
      <c r="I117" t="str">
        <f>"127"</f>
        <v>127</v>
      </c>
      <c r="J117" t="str">
        <f t="shared" si="114"/>
        <v>S</v>
      </c>
      <c r="K117" t="str">
        <f t="shared" si="119"/>
        <v>2</v>
      </c>
      <c r="L117" t="str">
        <f t="shared" si="117"/>
        <v>HKG02</v>
      </c>
      <c r="M117" t="str">
        <f t="shared" si="118"/>
        <v>HIT - Hongkong International Terminals</v>
      </c>
      <c r="N117" t="str">
        <f t="shared" si="63"/>
        <v>HKG</v>
      </c>
      <c r="O117" t="str">
        <f t="shared" si="120"/>
        <v>1</v>
      </c>
      <c r="P117" t="str">
        <f>""</f>
        <v/>
      </c>
      <c r="Q117" t="str">
        <f>"127S"</f>
        <v>127S</v>
      </c>
      <c r="R117" t="str">
        <f>"127S"</f>
        <v>127S</v>
      </c>
      <c r="S117" t="str">
        <f>""</f>
        <v/>
      </c>
      <c r="T117" t="str">
        <f>"01 Aug 2019 09:00"</f>
        <v>01 Aug 2019 09:00</v>
      </c>
      <c r="U117" t="str">
        <f>"01 Aug 2019 10:00"</f>
        <v>01 Aug 2019 10:00</v>
      </c>
      <c r="V117" t="str">
        <f>"1h"</f>
        <v>1h</v>
      </c>
      <c r="W117" t="str">
        <f>"01 Aug 2019 09:00"</f>
        <v>01 Aug 2019 09:00</v>
      </c>
      <c r="X117" t="str">
        <f>""</f>
        <v/>
      </c>
      <c r="Y117" t="str">
        <f>"01 Aug 2019 10:00"</f>
        <v>01 Aug 2019 10:00</v>
      </c>
      <c r="Z117" t="str">
        <f>""</f>
        <v/>
      </c>
      <c r="AA117" t="str">
        <f>""</f>
        <v/>
      </c>
      <c r="AB117" t="str">
        <f t="shared" si="64"/>
        <v>NN</v>
      </c>
      <c r="AC117" t="str">
        <f t="shared" si="91"/>
        <v>LL</v>
      </c>
      <c r="AD117" t="str">
        <f t="shared" si="92"/>
        <v>0</v>
      </c>
      <c r="AE117" t="str">
        <f t="shared" si="92"/>
        <v>0</v>
      </c>
      <c r="AF117" t="str">
        <f t="shared" si="122"/>
        <v>01 Aug 2019 09:00</v>
      </c>
      <c r="AG117" t="str">
        <f t="shared" si="122"/>
        <v>01 Aug 2019 09:00</v>
      </c>
      <c r="AH117" t="str">
        <f t="shared" si="122"/>
        <v>01 Aug 2019 09:00</v>
      </c>
      <c r="AI117" t="str">
        <f t="shared" si="122"/>
        <v>01 Aug 2019 09:00</v>
      </c>
      <c r="AJ117" t="str">
        <f t="shared" si="122"/>
        <v>01 Aug 2019 09:00</v>
      </c>
      <c r="AK117" t="str">
        <f t="shared" si="123"/>
        <v>01 Aug 2019 10:00</v>
      </c>
      <c r="AL117" t="str">
        <f t="shared" si="123"/>
        <v>01 Aug 2019 10:00</v>
      </c>
      <c r="AM117" t="str">
        <f t="shared" si="123"/>
        <v>01 Aug 2019 10:00</v>
      </c>
      <c r="AN117" t="str">
        <f t="shared" si="123"/>
        <v>01 Aug 2019 10:00</v>
      </c>
      <c r="AO117" t="str">
        <f t="shared" si="123"/>
        <v>01 Aug 2019 10:00</v>
      </c>
      <c r="AP117" t="str">
        <f>""</f>
        <v/>
      </c>
      <c r="AQ117" t="str">
        <f>"01 Aug 2019 09:00"</f>
        <v>01 Aug 2019 09:00</v>
      </c>
      <c r="AR117" t="str">
        <f t="shared" si="102"/>
        <v>Y</v>
      </c>
      <c r="AS117" t="str">
        <f t="shared" si="102"/>
        <v>Y</v>
      </c>
      <c r="AT117" t="str">
        <f t="shared" si="102"/>
        <v>Y</v>
      </c>
      <c r="AU117" t="str">
        <f t="shared" si="107"/>
        <v>N</v>
      </c>
      <c r="AV117" t="str">
        <f t="shared" si="107"/>
        <v>N</v>
      </c>
      <c r="AW117" t="str">
        <f>""</f>
        <v/>
      </c>
      <c r="AX117" t="str">
        <f t="shared" si="65"/>
        <v>No</v>
      </c>
      <c r="AY117" t="str">
        <f>""</f>
        <v/>
      </c>
      <c r="AZ117" t="s">
        <v>12</v>
      </c>
      <c r="BA117" t="s">
        <v>110</v>
      </c>
      <c r="BB117" t="s">
        <v>128</v>
      </c>
    </row>
    <row r="118" spans="1:54">
      <c r="A118" s="7" t="str">
        <f t="shared" si="66"/>
        <v>PHKG4UX027S</v>
      </c>
      <c r="B118" s="8" t="e">
        <f t="shared" si="67"/>
        <v>#VALUE!</v>
      </c>
      <c r="C118" t="str">
        <f t="shared" si="84"/>
        <v>PHKG</v>
      </c>
      <c r="D118" t="str">
        <f>"4UX"</f>
        <v>4UX</v>
      </c>
      <c r="E118" t="str">
        <f>"YUN XUN 568"</f>
        <v>YUN XUN 568</v>
      </c>
      <c r="F118" t="str">
        <f>""</f>
        <v/>
      </c>
      <c r="G118" t="str">
        <f t="shared" si="62"/>
        <v>OOCL</v>
      </c>
      <c r="H118" t="str">
        <f>""</f>
        <v/>
      </c>
      <c r="I118" t="str">
        <f>"027"</f>
        <v>027</v>
      </c>
      <c r="J118" t="str">
        <f t="shared" si="114"/>
        <v>S</v>
      </c>
      <c r="K118" t="str">
        <f t="shared" si="119"/>
        <v>2</v>
      </c>
      <c r="L118" t="str">
        <f t="shared" si="117"/>
        <v>HKG02</v>
      </c>
      <c r="M118" t="str">
        <f t="shared" si="118"/>
        <v>HIT - Hongkong International Terminals</v>
      </c>
      <c r="N118" t="str">
        <f t="shared" si="63"/>
        <v>HKG</v>
      </c>
      <c r="O118" t="str">
        <f t="shared" si="120"/>
        <v>1</v>
      </c>
      <c r="P118" t="str">
        <f>""</f>
        <v/>
      </c>
      <c r="Q118" t="str">
        <f>"027S"</f>
        <v>027S</v>
      </c>
      <c r="R118" t="str">
        <f>"027S"</f>
        <v>027S</v>
      </c>
      <c r="S118" t="str">
        <f>""</f>
        <v/>
      </c>
      <c r="T118" t="str">
        <f>"01 Aug 2019 09:00"</f>
        <v>01 Aug 2019 09:00</v>
      </c>
      <c r="U118" t="str">
        <f>"01 Aug 2019 11:00"</f>
        <v>01 Aug 2019 11:00</v>
      </c>
      <c r="V118" t="str">
        <f>"2h"</f>
        <v>2h</v>
      </c>
      <c r="W118" t="str">
        <f>"01 Aug 2019 09:00"</f>
        <v>01 Aug 2019 09:00</v>
      </c>
      <c r="X118" t="str">
        <f>""</f>
        <v/>
      </c>
      <c r="Y118" t="str">
        <f>"01 Aug 2019 11:00"</f>
        <v>01 Aug 2019 11:00</v>
      </c>
      <c r="Z118" t="str">
        <f>""</f>
        <v/>
      </c>
      <c r="AA118" t="str">
        <f>""</f>
        <v/>
      </c>
      <c r="AB118" t="str">
        <f t="shared" si="64"/>
        <v>NN</v>
      </c>
      <c r="AC118" t="str">
        <f t="shared" si="91"/>
        <v>LL</v>
      </c>
      <c r="AD118" t="str">
        <f t="shared" si="92"/>
        <v>0</v>
      </c>
      <c r="AE118" t="str">
        <f t="shared" si="92"/>
        <v>0</v>
      </c>
      <c r="AF118" t="str">
        <f t="shared" si="122"/>
        <v>01 Aug 2019 09:00</v>
      </c>
      <c r="AG118" t="str">
        <f t="shared" si="122"/>
        <v>01 Aug 2019 09:00</v>
      </c>
      <c r="AH118" t="str">
        <f t="shared" si="122"/>
        <v>01 Aug 2019 09:00</v>
      </c>
      <c r="AI118" t="str">
        <f t="shared" si="122"/>
        <v>01 Aug 2019 09:00</v>
      </c>
      <c r="AJ118" t="str">
        <f t="shared" si="122"/>
        <v>01 Aug 2019 09:00</v>
      </c>
      <c r="AK118" t="str">
        <f>"01 Aug 2019 11:00"</f>
        <v>01 Aug 2019 11:00</v>
      </c>
      <c r="AL118" t="str">
        <f>"01 Aug 2019 11:00"</f>
        <v>01 Aug 2019 11:00</v>
      </c>
      <c r="AM118" t="str">
        <f>"01 Aug 2019 11:00"</f>
        <v>01 Aug 2019 11:00</v>
      </c>
      <c r="AN118" t="str">
        <f>"01 Aug 2019 11:00"</f>
        <v>01 Aug 2019 11:00</v>
      </c>
      <c r="AO118" t="str">
        <f>"01 Aug 2019 11:00"</f>
        <v>01 Aug 2019 11:00</v>
      </c>
      <c r="AP118" t="str">
        <f>""</f>
        <v/>
      </c>
      <c r="AQ118" t="str">
        <f>"01 Aug 2019 09:00"</f>
        <v>01 Aug 2019 09:00</v>
      </c>
      <c r="AR118" t="str">
        <f t="shared" ref="AR118:AT137" si="124">"Y"</f>
        <v>Y</v>
      </c>
      <c r="AS118" t="str">
        <f t="shared" si="124"/>
        <v>Y</v>
      </c>
      <c r="AT118" t="str">
        <f t="shared" si="124"/>
        <v>Y</v>
      </c>
      <c r="AU118" t="str">
        <f t="shared" si="107"/>
        <v>N</v>
      </c>
      <c r="AV118" t="str">
        <f t="shared" si="107"/>
        <v>N</v>
      </c>
      <c r="AW118" t="str">
        <f>""</f>
        <v/>
      </c>
      <c r="AX118" t="str">
        <f t="shared" si="65"/>
        <v>No</v>
      </c>
      <c r="AY118" t="str">
        <f>""</f>
        <v/>
      </c>
      <c r="AZ118" t="s">
        <v>12</v>
      </c>
      <c r="BA118" t="s">
        <v>110</v>
      </c>
      <c r="BB118" t="s">
        <v>110</v>
      </c>
    </row>
    <row r="119" spans="1:54">
      <c r="A119" s="7" t="str">
        <f t="shared" si="66"/>
        <v>PHKG3EG738S</v>
      </c>
      <c r="B119" s="8" t="e">
        <f t="shared" si="67"/>
        <v>#VALUE!</v>
      </c>
      <c r="C119" t="str">
        <f t="shared" si="84"/>
        <v>PHKG</v>
      </c>
      <c r="D119" t="str">
        <f>"3EG"</f>
        <v>3EG</v>
      </c>
      <c r="E119" t="str">
        <f>"HUI JIN QIAO 07"</f>
        <v>HUI JIN QIAO 07</v>
      </c>
      <c r="F119" t="str">
        <f>""</f>
        <v/>
      </c>
      <c r="G119" t="str">
        <f t="shared" si="62"/>
        <v>OOCL</v>
      </c>
      <c r="H119" t="str">
        <f>""</f>
        <v/>
      </c>
      <c r="I119" t="str">
        <f>"738"</f>
        <v>738</v>
      </c>
      <c r="J119" t="str">
        <f t="shared" si="114"/>
        <v>S</v>
      </c>
      <c r="K119" t="str">
        <f t="shared" si="119"/>
        <v>2</v>
      </c>
      <c r="L119" t="str">
        <f t="shared" si="117"/>
        <v>HKG02</v>
      </c>
      <c r="M119" t="str">
        <f t="shared" si="118"/>
        <v>HIT - Hongkong International Terminals</v>
      </c>
      <c r="N119" t="str">
        <f t="shared" si="63"/>
        <v>HKG</v>
      </c>
      <c r="O119" t="str">
        <f t="shared" si="120"/>
        <v>1</v>
      </c>
      <c r="P119" t="str">
        <f>""</f>
        <v/>
      </c>
      <c r="Q119" t="str">
        <f>"738S"</f>
        <v>738S</v>
      </c>
      <c r="R119" t="str">
        <f>"738S"</f>
        <v>738S</v>
      </c>
      <c r="S119" t="str">
        <f>""</f>
        <v/>
      </c>
      <c r="T119" t="str">
        <f>"01 Aug 2019 11:00"</f>
        <v>01 Aug 2019 11:00</v>
      </c>
      <c r="U119" t="str">
        <f>"01 Aug 2019 12:00"</f>
        <v>01 Aug 2019 12:00</v>
      </c>
      <c r="V119" t="str">
        <f>"1h"</f>
        <v>1h</v>
      </c>
      <c r="W119" t="str">
        <f>"01 Aug 2019 11:00"</f>
        <v>01 Aug 2019 11:00</v>
      </c>
      <c r="X119" t="str">
        <f>""</f>
        <v/>
      </c>
      <c r="Y119" t="str">
        <f>"01 Aug 2019 12:00"</f>
        <v>01 Aug 2019 12:00</v>
      </c>
      <c r="Z119" t="str">
        <f>""</f>
        <v/>
      </c>
      <c r="AA119" t="str">
        <f>""</f>
        <v/>
      </c>
      <c r="AB119" t="str">
        <f t="shared" si="64"/>
        <v>NN</v>
      </c>
      <c r="AC119" t="str">
        <f t="shared" si="91"/>
        <v>LL</v>
      </c>
      <c r="AD119" t="str">
        <f t="shared" si="92"/>
        <v>0</v>
      </c>
      <c r="AE119" t="str">
        <f t="shared" si="92"/>
        <v>0</v>
      </c>
      <c r="AF119" t="str">
        <f>"01 Aug 2019 13:00"</f>
        <v>01 Aug 2019 13:00</v>
      </c>
      <c r="AG119" t="str">
        <f>"01 Aug 2019 13:00"</f>
        <v>01 Aug 2019 13:00</v>
      </c>
      <c r="AH119" t="str">
        <f>"01 Aug 2019 13:00"</f>
        <v>01 Aug 2019 13:00</v>
      </c>
      <c r="AI119" t="str">
        <f>"01 Aug 2019 13:00"</f>
        <v>01 Aug 2019 13:00</v>
      </c>
      <c r="AJ119" t="str">
        <f>"01 Aug 2019 13:00"</f>
        <v>01 Aug 2019 13:00</v>
      </c>
      <c r="AK119" t="str">
        <f>"01 Aug 2019 12:00"</f>
        <v>01 Aug 2019 12:00</v>
      </c>
      <c r="AL119" t="str">
        <f>"01 Aug 2019 12:00"</f>
        <v>01 Aug 2019 12:00</v>
      </c>
      <c r="AM119" t="str">
        <f>"01 Aug 2019 12:00"</f>
        <v>01 Aug 2019 12:00</v>
      </c>
      <c r="AN119" t="str">
        <f>"01 Aug 2019 12:00"</f>
        <v>01 Aug 2019 12:00</v>
      </c>
      <c r="AO119" t="str">
        <f>"01 Aug 2019 12:00"</f>
        <v>01 Aug 2019 12:00</v>
      </c>
      <c r="AP119" t="str">
        <f>""</f>
        <v/>
      </c>
      <c r="AQ119" t="str">
        <f>"01 Aug 2019 13:00"</f>
        <v>01 Aug 2019 13:00</v>
      </c>
      <c r="AR119" t="str">
        <f t="shared" si="124"/>
        <v>Y</v>
      </c>
      <c r="AS119" t="str">
        <f t="shared" si="124"/>
        <v>Y</v>
      </c>
      <c r="AT119" t="str">
        <f t="shared" si="124"/>
        <v>Y</v>
      </c>
      <c r="AU119" t="str">
        <f t="shared" si="107"/>
        <v>N</v>
      </c>
      <c r="AV119" t="str">
        <f t="shared" si="107"/>
        <v>N</v>
      </c>
      <c r="AW119" t="str">
        <f>""</f>
        <v/>
      </c>
      <c r="AX119" t="str">
        <f t="shared" si="65"/>
        <v>No</v>
      </c>
      <c r="AY119" t="str">
        <f>""</f>
        <v/>
      </c>
      <c r="AZ119" t="s">
        <v>12</v>
      </c>
      <c r="BA119" t="s">
        <v>110</v>
      </c>
      <c r="BB119" t="s">
        <v>110</v>
      </c>
    </row>
    <row r="120" spans="1:54">
      <c r="A120" s="7" t="str">
        <f t="shared" si="66"/>
        <v>PHKG7RE280S</v>
      </c>
      <c r="B120" s="8">
        <f t="shared" si="67"/>
        <v>43678.458333333336</v>
      </c>
      <c r="C120" t="str">
        <f t="shared" si="84"/>
        <v>PHKG</v>
      </c>
      <c r="D120" t="str">
        <f>"7RE"</f>
        <v>7RE</v>
      </c>
      <c r="E120" t="str">
        <f>"YUN XUN 928"</f>
        <v>YUN XUN 928</v>
      </c>
      <c r="F120" t="str">
        <f>""</f>
        <v/>
      </c>
      <c r="G120" t="str">
        <f t="shared" si="62"/>
        <v>OOCL</v>
      </c>
      <c r="H120" t="str">
        <f>""</f>
        <v/>
      </c>
      <c r="I120" t="str">
        <f>"280"</f>
        <v>280</v>
      </c>
      <c r="J120" t="str">
        <f t="shared" si="114"/>
        <v>S</v>
      </c>
      <c r="K120" t="str">
        <f t="shared" si="119"/>
        <v>2</v>
      </c>
      <c r="L120" t="str">
        <f t="shared" si="117"/>
        <v>HKG02</v>
      </c>
      <c r="M120" t="str">
        <f t="shared" si="118"/>
        <v>HIT - Hongkong International Terminals</v>
      </c>
      <c r="N120" t="str">
        <f t="shared" si="63"/>
        <v>HKG</v>
      </c>
      <c r="O120" t="str">
        <f t="shared" si="120"/>
        <v>1</v>
      </c>
      <c r="P120" t="str">
        <f>""</f>
        <v/>
      </c>
      <c r="Q120" t="str">
        <f>"280S"</f>
        <v>280S</v>
      </c>
      <c r="R120" t="str">
        <f>"280S"</f>
        <v>280S</v>
      </c>
      <c r="S120" t="str">
        <f>""</f>
        <v/>
      </c>
      <c r="T120" t="str">
        <f>"01 Aug 2019 11:00"</f>
        <v>01 Aug 2019 11:00</v>
      </c>
      <c r="U120" t="str">
        <f>"01 Aug 2019 12:00"</f>
        <v>01 Aug 2019 12:00</v>
      </c>
      <c r="V120" t="str">
        <f>"1h"</f>
        <v>1h</v>
      </c>
      <c r="W120" t="str">
        <f>"01 Aug 2019 11:00"</f>
        <v>01 Aug 2019 11:00</v>
      </c>
      <c r="X120" t="str">
        <f>""</f>
        <v/>
      </c>
      <c r="Y120" t="str">
        <f>"01 Aug 2019 12:00"</f>
        <v>01 Aug 2019 12:00</v>
      </c>
      <c r="Z120" t="str">
        <f>""</f>
        <v/>
      </c>
      <c r="AA120" t="str">
        <f>""</f>
        <v/>
      </c>
      <c r="AB120" t="str">
        <f t="shared" si="64"/>
        <v>NN</v>
      </c>
      <c r="AC120" t="str">
        <f t="shared" si="91"/>
        <v>LL</v>
      </c>
      <c r="AD120" t="str">
        <f t="shared" si="92"/>
        <v>0</v>
      </c>
      <c r="AE120" t="str">
        <f t="shared" si="92"/>
        <v>0</v>
      </c>
      <c r="AF120" t="str">
        <f t="shared" ref="AF120:AQ122" si="125">"01 Aug 2019 11:00"</f>
        <v>01 Aug 2019 11:00</v>
      </c>
      <c r="AG120" t="str">
        <f t="shared" si="125"/>
        <v>01 Aug 2019 11:00</v>
      </c>
      <c r="AH120" t="str">
        <f t="shared" si="125"/>
        <v>01 Aug 2019 11:00</v>
      </c>
      <c r="AI120" t="str">
        <f t="shared" si="125"/>
        <v>01 Aug 2019 11:00</v>
      </c>
      <c r="AJ120" t="str">
        <f t="shared" si="125"/>
        <v>01 Aug 2019 11:00</v>
      </c>
      <c r="AK120" t="str">
        <f t="shared" si="125"/>
        <v>01 Aug 2019 11:00</v>
      </c>
      <c r="AL120" t="str">
        <f t="shared" si="125"/>
        <v>01 Aug 2019 11:00</v>
      </c>
      <c r="AM120" t="str">
        <f t="shared" si="125"/>
        <v>01 Aug 2019 11:00</v>
      </c>
      <c r="AN120" t="str">
        <f t="shared" si="125"/>
        <v>01 Aug 2019 11:00</v>
      </c>
      <c r="AO120" t="str">
        <f t="shared" si="125"/>
        <v>01 Aug 2019 11:00</v>
      </c>
      <c r="AP120" t="str">
        <f t="shared" si="125"/>
        <v>01 Aug 2019 11:00</v>
      </c>
      <c r="AQ120" t="str">
        <f t="shared" si="125"/>
        <v>01 Aug 2019 11:00</v>
      </c>
      <c r="AR120" t="str">
        <f t="shared" si="124"/>
        <v>Y</v>
      </c>
      <c r="AS120" t="str">
        <f t="shared" si="124"/>
        <v>Y</v>
      </c>
      <c r="AT120" t="str">
        <f t="shared" si="124"/>
        <v>Y</v>
      </c>
      <c r="AU120" t="str">
        <f t="shared" si="107"/>
        <v>N</v>
      </c>
      <c r="AV120" t="str">
        <f t="shared" si="107"/>
        <v>N</v>
      </c>
      <c r="AW120" t="str">
        <f>""</f>
        <v/>
      </c>
      <c r="AX120" t="str">
        <f t="shared" si="65"/>
        <v>No</v>
      </c>
      <c r="AY120" t="str">
        <f>""</f>
        <v/>
      </c>
      <c r="AZ120" t="s">
        <v>12</v>
      </c>
      <c r="BA120" t="s">
        <v>110</v>
      </c>
      <c r="BB120" t="s">
        <v>110</v>
      </c>
    </row>
    <row r="121" spans="1:54">
      <c r="A121" s="7" t="str">
        <f t="shared" si="66"/>
        <v>PHKG8SX108S</v>
      </c>
      <c r="B121" s="8" t="e">
        <f t="shared" si="67"/>
        <v>#VALUE!</v>
      </c>
      <c r="C121" t="str">
        <f t="shared" si="84"/>
        <v>PHKG</v>
      </c>
      <c r="D121" t="str">
        <f>"8SX"</f>
        <v>8SX</v>
      </c>
      <c r="E121" t="str">
        <f>"YUE HAI 198"</f>
        <v>YUE HAI 198</v>
      </c>
      <c r="F121" t="str">
        <f>""</f>
        <v/>
      </c>
      <c r="G121" t="str">
        <f t="shared" si="62"/>
        <v>OOCL</v>
      </c>
      <c r="H121" t="str">
        <f>""</f>
        <v/>
      </c>
      <c r="I121" t="str">
        <f>"108"</f>
        <v>108</v>
      </c>
      <c r="J121" t="str">
        <f t="shared" si="114"/>
        <v>S</v>
      </c>
      <c r="K121" t="str">
        <f>"3"</f>
        <v>3</v>
      </c>
      <c r="L121" t="str">
        <f t="shared" si="117"/>
        <v>HKG02</v>
      </c>
      <c r="M121" t="str">
        <f t="shared" si="118"/>
        <v>HIT - Hongkong International Terminals</v>
      </c>
      <c r="N121" t="str">
        <f t="shared" si="63"/>
        <v>HKG</v>
      </c>
      <c r="O121" t="str">
        <f t="shared" si="120"/>
        <v>1</v>
      </c>
      <c r="P121" t="str">
        <f>""</f>
        <v/>
      </c>
      <c r="Q121" t="str">
        <f>"108S"</f>
        <v>108S</v>
      </c>
      <c r="R121" t="str">
        <f>"108S"</f>
        <v>108S</v>
      </c>
      <c r="S121" t="str">
        <f>""</f>
        <v/>
      </c>
      <c r="T121" t="str">
        <f>"01 Aug 2019 11:00"</f>
        <v>01 Aug 2019 11:00</v>
      </c>
      <c r="U121" t="str">
        <f>"01 Aug 2019 12:00"</f>
        <v>01 Aug 2019 12:00</v>
      </c>
      <c r="V121" t="str">
        <f>"1h"</f>
        <v>1h</v>
      </c>
      <c r="W121" t="str">
        <f>"01 Aug 2019 11:00"</f>
        <v>01 Aug 2019 11:00</v>
      </c>
      <c r="X121" t="str">
        <f>""</f>
        <v/>
      </c>
      <c r="Y121" t="str">
        <f>"01 Aug 2019 12:00"</f>
        <v>01 Aug 2019 12:00</v>
      </c>
      <c r="Z121" t="str">
        <f>""</f>
        <v/>
      </c>
      <c r="AA121" t="str">
        <f>""</f>
        <v/>
      </c>
      <c r="AB121" t="str">
        <f t="shared" si="64"/>
        <v>NN</v>
      </c>
      <c r="AC121" t="str">
        <f t="shared" si="91"/>
        <v>LL</v>
      </c>
      <c r="AD121" t="str">
        <f t="shared" si="92"/>
        <v>0</v>
      </c>
      <c r="AE121" t="str">
        <f t="shared" si="92"/>
        <v>0</v>
      </c>
      <c r="AF121" t="str">
        <f t="shared" si="125"/>
        <v>01 Aug 2019 11:00</v>
      </c>
      <c r="AG121" t="str">
        <f t="shared" si="125"/>
        <v>01 Aug 2019 11:00</v>
      </c>
      <c r="AH121" t="str">
        <f t="shared" si="125"/>
        <v>01 Aug 2019 11:00</v>
      </c>
      <c r="AI121" t="str">
        <f t="shared" si="125"/>
        <v>01 Aug 2019 11:00</v>
      </c>
      <c r="AJ121" t="str">
        <f t="shared" si="125"/>
        <v>01 Aug 2019 11:00</v>
      </c>
      <c r="AK121" t="str">
        <f t="shared" ref="AK121:AO122" si="126">"01 Aug 2019 12:00"</f>
        <v>01 Aug 2019 12:00</v>
      </c>
      <c r="AL121" t="str">
        <f t="shared" si="126"/>
        <v>01 Aug 2019 12:00</v>
      </c>
      <c r="AM121" t="str">
        <f t="shared" si="126"/>
        <v>01 Aug 2019 12:00</v>
      </c>
      <c r="AN121" t="str">
        <f t="shared" si="126"/>
        <v>01 Aug 2019 12:00</v>
      </c>
      <c r="AO121" t="str">
        <f t="shared" si="126"/>
        <v>01 Aug 2019 12:00</v>
      </c>
      <c r="AP121" t="str">
        <f>""</f>
        <v/>
      </c>
      <c r="AQ121" t="str">
        <f>"01 Aug 2019 11:00"</f>
        <v>01 Aug 2019 11:00</v>
      </c>
      <c r="AR121" t="str">
        <f t="shared" si="124"/>
        <v>Y</v>
      </c>
      <c r="AS121" t="str">
        <f t="shared" si="124"/>
        <v>Y</v>
      </c>
      <c r="AT121" t="str">
        <f t="shared" si="124"/>
        <v>Y</v>
      </c>
      <c r="AU121" t="str">
        <f t="shared" si="107"/>
        <v>N</v>
      </c>
      <c r="AV121" t="str">
        <f t="shared" si="107"/>
        <v>N</v>
      </c>
      <c r="AW121" t="str">
        <f>""</f>
        <v/>
      </c>
      <c r="AX121" t="str">
        <f t="shared" si="65"/>
        <v>No</v>
      </c>
      <c r="AY121" t="str">
        <f>""</f>
        <v/>
      </c>
      <c r="AZ121" t="s">
        <v>12</v>
      </c>
      <c r="BA121" t="s">
        <v>110</v>
      </c>
      <c r="BB121" t="s">
        <v>110</v>
      </c>
    </row>
    <row r="122" spans="1:54">
      <c r="A122" s="7" t="str">
        <f t="shared" si="66"/>
        <v>PHKGWU7570S</v>
      </c>
      <c r="B122" s="8" t="e">
        <f t="shared" si="67"/>
        <v>#VALUE!</v>
      </c>
      <c r="C122" t="str">
        <f t="shared" si="84"/>
        <v>PHKG</v>
      </c>
      <c r="D122" t="str">
        <f>"WU7"</f>
        <v>WU7</v>
      </c>
      <c r="E122" t="str">
        <f>"JIAN GONG 528"</f>
        <v>JIAN GONG 528</v>
      </c>
      <c r="F122" t="str">
        <f>""</f>
        <v/>
      </c>
      <c r="G122" t="str">
        <f t="shared" si="62"/>
        <v>OOCL</v>
      </c>
      <c r="H122" t="str">
        <f>""</f>
        <v/>
      </c>
      <c r="I122" t="str">
        <f>"570"</f>
        <v>570</v>
      </c>
      <c r="J122" t="str">
        <f t="shared" si="114"/>
        <v>S</v>
      </c>
      <c r="K122" t="str">
        <f>"2"</f>
        <v>2</v>
      </c>
      <c r="L122" t="str">
        <f t="shared" si="117"/>
        <v>HKG02</v>
      </c>
      <c r="M122" t="str">
        <f t="shared" si="118"/>
        <v>HIT - Hongkong International Terminals</v>
      </c>
      <c r="N122" t="str">
        <f t="shared" si="63"/>
        <v>HKG</v>
      </c>
      <c r="O122" t="str">
        <f t="shared" si="120"/>
        <v>1</v>
      </c>
      <c r="P122" t="str">
        <f>""</f>
        <v/>
      </c>
      <c r="Q122" t="str">
        <f>"570S"</f>
        <v>570S</v>
      </c>
      <c r="R122" t="str">
        <f>"570S"</f>
        <v>570S</v>
      </c>
      <c r="S122" t="str">
        <f>""</f>
        <v/>
      </c>
      <c r="T122" t="str">
        <f>"01 Aug 2019 11:00"</f>
        <v>01 Aug 2019 11:00</v>
      </c>
      <c r="U122" t="str">
        <f>"01 Aug 2019 12:00"</f>
        <v>01 Aug 2019 12:00</v>
      </c>
      <c r="V122" t="str">
        <f>"1h"</f>
        <v>1h</v>
      </c>
      <c r="W122" t="str">
        <f>"01 Aug 2019 11:00"</f>
        <v>01 Aug 2019 11:00</v>
      </c>
      <c r="X122" t="str">
        <f>""</f>
        <v/>
      </c>
      <c r="Y122" t="str">
        <f>"01 Aug 2019 12:00"</f>
        <v>01 Aug 2019 12:00</v>
      </c>
      <c r="Z122" t="str">
        <f>""</f>
        <v/>
      </c>
      <c r="AA122" t="str">
        <f>""</f>
        <v/>
      </c>
      <c r="AB122" t="str">
        <f t="shared" si="64"/>
        <v>NN</v>
      </c>
      <c r="AC122" t="str">
        <f t="shared" si="91"/>
        <v>LL</v>
      </c>
      <c r="AD122" t="str">
        <f t="shared" si="92"/>
        <v>0</v>
      </c>
      <c r="AE122" t="str">
        <f t="shared" si="92"/>
        <v>0</v>
      </c>
      <c r="AF122" t="str">
        <f t="shared" si="125"/>
        <v>01 Aug 2019 11:00</v>
      </c>
      <c r="AG122" t="str">
        <f t="shared" si="125"/>
        <v>01 Aug 2019 11:00</v>
      </c>
      <c r="AH122" t="str">
        <f t="shared" si="125"/>
        <v>01 Aug 2019 11:00</v>
      </c>
      <c r="AI122" t="str">
        <f t="shared" si="125"/>
        <v>01 Aug 2019 11:00</v>
      </c>
      <c r="AJ122" t="str">
        <f t="shared" si="125"/>
        <v>01 Aug 2019 11:00</v>
      </c>
      <c r="AK122" t="str">
        <f t="shared" si="126"/>
        <v>01 Aug 2019 12:00</v>
      </c>
      <c r="AL122" t="str">
        <f t="shared" si="126"/>
        <v>01 Aug 2019 12:00</v>
      </c>
      <c r="AM122" t="str">
        <f t="shared" si="126"/>
        <v>01 Aug 2019 12:00</v>
      </c>
      <c r="AN122" t="str">
        <f t="shared" si="126"/>
        <v>01 Aug 2019 12:00</v>
      </c>
      <c r="AO122" t="str">
        <f t="shared" si="126"/>
        <v>01 Aug 2019 12:00</v>
      </c>
      <c r="AP122" t="str">
        <f>""</f>
        <v/>
      </c>
      <c r="AQ122" t="str">
        <f>"01 Aug 2019 11:00"</f>
        <v>01 Aug 2019 11:00</v>
      </c>
      <c r="AR122" t="str">
        <f t="shared" si="124"/>
        <v>Y</v>
      </c>
      <c r="AS122" t="str">
        <f t="shared" si="124"/>
        <v>Y</v>
      </c>
      <c r="AT122" t="str">
        <f t="shared" si="124"/>
        <v>Y</v>
      </c>
      <c r="AU122" t="str">
        <f t="shared" ref="AU122:AV141" si="127">"N"</f>
        <v>N</v>
      </c>
      <c r="AV122" t="str">
        <f t="shared" si="127"/>
        <v>N</v>
      </c>
      <c r="AW122" t="str">
        <f>""</f>
        <v/>
      </c>
      <c r="AX122" t="str">
        <f t="shared" si="65"/>
        <v>No</v>
      </c>
      <c r="AY122" t="str">
        <f>""</f>
        <v/>
      </c>
      <c r="AZ122" t="s">
        <v>12</v>
      </c>
      <c r="BA122" t="s">
        <v>110</v>
      </c>
      <c r="BB122" t="s">
        <v>110</v>
      </c>
    </row>
    <row r="123" spans="1:54">
      <c r="A123" s="7" t="str">
        <f t="shared" si="66"/>
        <v>PHKG3DW225S</v>
      </c>
      <c r="B123" s="8" t="e">
        <f t="shared" si="67"/>
        <v>#VALUE!</v>
      </c>
      <c r="C123" t="str">
        <f t="shared" si="84"/>
        <v>PHKG</v>
      </c>
      <c r="D123" t="str">
        <f>"3DW"</f>
        <v>3DW</v>
      </c>
      <c r="E123" t="str">
        <f>"XIANG FU 9"</f>
        <v>XIANG FU 9</v>
      </c>
      <c r="F123" t="str">
        <f>""</f>
        <v/>
      </c>
      <c r="G123" t="str">
        <f t="shared" si="62"/>
        <v>OOCL</v>
      </c>
      <c r="H123" t="str">
        <f>""</f>
        <v/>
      </c>
      <c r="I123" t="str">
        <f>"225"</f>
        <v>225</v>
      </c>
      <c r="J123" t="str">
        <f t="shared" si="114"/>
        <v>S</v>
      </c>
      <c r="K123" t="str">
        <f>"2"</f>
        <v>2</v>
      </c>
      <c r="L123" t="str">
        <f t="shared" si="117"/>
        <v>HKG02</v>
      </c>
      <c r="M123" t="str">
        <f t="shared" si="118"/>
        <v>HIT - Hongkong International Terminals</v>
      </c>
      <c r="N123" t="str">
        <f t="shared" si="63"/>
        <v>HKG</v>
      </c>
      <c r="O123" t="str">
        <f t="shared" si="120"/>
        <v>1</v>
      </c>
      <c r="P123" t="str">
        <f>""</f>
        <v/>
      </c>
      <c r="Q123" t="str">
        <f>"225S"</f>
        <v>225S</v>
      </c>
      <c r="R123" t="str">
        <f>"225S"</f>
        <v>225S</v>
      </c>
      <c r="S123" t="str">
        <f>""</f>
        <v/>
      </c>
      <c r="T123" t="str">
        <f>"01 Aug 2019 12:00"</f>
        <v>01 Aug 2019 12:00</v>
      </c>
      <c r="U123" t="str">
        <f>"01 Aug 2019 13:00"</f>
        <v>01 Aug 2019 13:00</v>
      </c>
      <c r="V123" t="str">
        <f>"1h"</f>
        <v>1h</v>
      </c>
      <c r="W123" t="str">
        <f>"01 Aug 2019 12:00"</f>
        <v>01 Aug 2019 12:00</v>
      </c>
      <c r="X123" t="str">
        <f>""</f>
        <v/>
      </c>
      <c r="Y123" t="str">
        <f>"01 Aug 2019 13:00"</f>
        <v>01 Aug 2019 13:00</v>
      </c>
      <c r="Z123" t="str">
        <f>""</f>
        <v/>
      </c>
      <c r="AA123" t="str">
        <f>""</f>
        <v/>
      </c>
      <c r="AB123" t="str">
        <f t="shared" si="64"/>
        <v>NN</v>
      </c>
      <c r="AC123" t="str">
        <f t="shared" si="91"/>
        <v>LL</v>
      </c>
      <c r="AD123" t="str">
        <f t="shared" si="92"/>
        <v>0</v>
      </c>
      <c r="AE123" t="str">
        <f t="shared" si="92"/>
        <v>0</v>
      </c>
      <c r="AF123" t="str">
        <f>"01 Aug 2019 12:00"</f>
        <v>01 Aug 2019 12:00</v>
      </c>
      <c r="AG123" t="str">
        <f>"01 Aug 2019 12:00"</f>
        <v>01 Aug 2019 12:00</v>
      </c>
      <c r="AH123" t="str">
        <f>"01 Aug 2019 12:00"</f>
        <v>01 Aug 2019 12:00</v>
      </c>
      <c r="AI123" t="str">
        <f>"01 Aug 2019 12:00"</f>
        <v>01 Aug 2019 12:00</v>
      </c>
      <c r="AJ123" t="str">
        <f>"01 Aug 2019 12:00"</f>
        <v>01 Aug 2019 12:00</v>
      </c>
      <c r="AK123" t="str">
        <f>"01 Aug 2019 13:00"</f>
        <v>01 Aug 2019 13:00</v>
      </c>
      <c r="AL123" t="str">
        <f>"01 Aug 2019 13:00"</f>
        <v>01 Aug 2019 13:00</v>
      </c>
      <c r="AM123" t="str">
        <f>"01 Aug 2019 13:00"</f>
        <v>01 Aug 2019 13:00</v>
      </c>
      <c r="AN123" t="str">
        <f>"01 Aug 2019 13:00"</f>
        <v>01 Aug 2019 13:00</v>
      </c>
      <c r="AO123" t="str">
        <f>"01 Aug 2019 13:00"</f>
        <v>01 Aug 2019 13:00</v>
      </c>
      <c r="AP123" t="str">
        <f>""</f>
        <v/>
      </c>
      <c r="AQ123" t="str">
        <f>"01 Aug 2019 12:00"</f>
        <v>01 Aug 2019 12:00</v>
      </c>
      <c r="AR123" t="str">
        <f t="shared" si="124"/>
        <v>Y</v>
      </c>
      <c r="AS123" t="str">
        <f t="shared" si="124"/>
        <v>Y</v>
      </c>
      <c r="AT123" t="str">
        <f t="shared" si="124"/>
        <v>Y</v>
      </c>
      <c r="AU123" t="str">
        <f t="shared" si="127"/>
        <v>N</v>
      </c>
      <c r="AV123" t="str">
        <f t="shared" si="127"/>
        <v>N</v>
      </c>
      <c r="AW123" t="str">
        <f>""</f>
        <v/>
      </c>
      <c r="AX123" t="str">
        <f t="shared" si="65"/>
        <v>No</v>
      </c>
      <c r="AY123" t="str">
        <f>""</f>
        <v/>
      </c>
      <c r="AZ123" t="s">
        <v>12</v>
      </c>
      <c r="BA123" t="s">
        <v>110</v>
      </c>
      <c r="BB123" t="s">
        <v>110</v>
      </c>
    </row>
    <row r="124" spans="1:54">
      <c r="A124" s="7" t="str">
        <f t="shared" si="66"/>
        <v>PHKGTR5295N</v>
      </c>
      <c r="B124" s="8" t="e">
        <f t="shared" si="67"/>
        <v>#VALUE!</v>
      </c>
      <c r="C124" t="str">
        <f t="shared" si="84"/>
        <v>PHKG</v>
      </c>
      <c r="D124" t="str">
        <f>"TR5"</f>
        <v>TR5</v>
      </c>
      <c r="E124" t="str">
        <f>"SUI SHUN FENG JI 928"</f>
        <v>SUI SHUN FENG JI 928</v>
      </c>
      <c r="F124" t="str">
        <f>""</f>
        <v/>
      </c>
      <c r="G124" t="str">
        <f t="shared" si="62"/>
        <v>OOCL</v>
      </c>
      <c r="H124" t="str">
        <f>""</f>
        <v/>
      </c>
      <c r="I124" t="str">
        <f>"295"</f>
        <v>295</v>
      </c>
      <c r="J124" t="str">
        <f t="shared" si="114"/>
        <v>S</v>
      </c>
      <c r="K124" t="str">
        <f>"2"</f>
        <v>2</v>
      </c>
      <c r="L124" t="str">
        <f t="shared" si="117"/>
        <v>HKG02</v>
      </c>
      <c r="M124" t="str">
        <f t="shared" si="118"/>
        <v>HIT - Hongkong International Terminals</v>
      </c>
      <c r="N124" t="str">
        <f t="shared" si="63"/>
        <v>HKG</v>
      </c>
      <c r="O124" t="str">
        <f t="shared" si="120"/>
        <v>1</v>
      </c>
      <c r="P124" t="str">
        <f>""</f>
        <v/>
      </c>
      <c r="Q124" t="str">
        <f>"295S"</f>
        <v>295S</v>
      </c>
      <c r="R124" t="str">
        <f>"295N"</f>
        <v>295N</v>
      </c>
      <c r="S124" t="str">
        <f>""</f>
        <v/>
      </c>
      <c r="T124" t="str">
        <f>"31 Jul 2019 20:00"</f>
        <v>31 Jul 2019 20:00</v>
      </c>
      <c r="U124" t="str">
        <f>"01 Aug 2019 13:00"</f>
        <v>01 Aug 2019 13:00</v>
      </c>
      <c r="V124" t="str">
        <f>"17h"</f>
        <v>17h</v>
      </c>
      <c r="W124" t="str">
        <f>"31 Jul 2019 20:00"</f>
        <v>31 Jul 2019 20:00</v>
      </c>
      <c r="X124" t="str">
        <f>""</f>
        <v/>
      </c>
      <c r="Y124" t="str">
        <f>"01 Aug 2019 13:00"</f>
        <v>01 Aug 2019 13:00</v>
      </c>
      <c r="Z124" t="str">
        <f>""</f>
        <v/>
      </c>
      <c r="AA124" t="str">
        <f>""</f>
        <v/>
      </c>
      <c r="AB124" t="str">
        <f t="shared" si="64"/>
        <v>NN</v>
      </c>
      <c r="AC124" t="str">
        <f t="shared" si="91"/>
        <v>LL</v>
      </c>
      <c r="AD124" t="str">
        <f t="shared" si="92"/>
        <v>0</v>
      </c>
      <c r="AE124" t="str">
        <f t="shared" si="92"/>
        <v>0</v>
      </c>
      <c r="AF124" t="str">
        <f t="shared" ref="AF124:AJ125" si="128">"31 Jul 2019 20:00"</f>
        <v>31 Jul 2019 20:00</v>
      </c>
      <c r="AG124" t="str">
        <f t="shared" si="128"/>
        <v>31 Jul 2019 20:00</v>
      </c>
      <c r="AH124" t="str">
        <f t="shared" si="128"/>
        <v>31 Jul 2019 20:00</v>
      </c>
      <c r="AI124" t="str">
        <f t="shared" si="128"/>
        <v>31 Jul 2019 20:00</v>
      </c>
      <c r="AJ124" t="str">
        <f t="shared" si="128"/>
        <v>31 Jul 2019 20:00</v>
      </c>
      <c r="AK124" t="str">
        <f t="shared" ref="AK124:AO125" si="129">"30 Jul 2019 00:00"</f>
        <v>30 Jul 2019 00:00</v>
      </c>
      <c r="AL124" t="str">
        <f t="shared" si="129"/>
        <v>30 Jul 2019 00:00</v>
      </c>
      <c r="AM124" t="str">
        <f t="shared" si="129"/>
        <v>30 Jul 2019 00:00</v>
      </c>
      <c r="AN124" t="str">
        <f t="shared" si="129"/>
        <v>30 Jul 2019 00:00</v>
      </c>
      <c r="AO124" t="str">
        <f t="shared" si="129"/>
        <v>30 Jul 2019 00:00</v>
      </c>
      <c r="AP124" t="str">
        <f>""</f>
        <v/>
      </c>
      <c r="AQ124" t="str">
        <f>"31 Jul 2019 20:00"</f>
        <v>31 Jul 2019 20:00</v>
      </c>
      <c r="AR124" t="str">
        <f t="shared" si="124"/>
        <v>Y</v>
      </c>
      <c r="AS124" t="str">
        <f t="shared" si="124"/>
        <v>Y</v>
      </c>
      <c r="AT124" t="str">
        <f t="shared" si="124"/>
        <v>Y</v>
      </c>
      <c r="AU124" t="str">
        <f t="shared" si="127"/>
        <v>N</v>
      </c>
      <c r="AV124" t="str">
        <f t="shared" si="127"/>
        <v>N</v>
      </c>
      <c r="AW124" t="str">
        <f>""</f>
        <v/>
      </c>
      <c r="AX124" t="str">
        <f t="shared" si="65"/>
        <v>No</v>
      </c>
      <c r="AY124" t="str">
        <f>""</f>
        <v/>
      </c>
      <c r="AZ124" t="s">
        <v>12</v>
      </c>
      <c r="BA124" t="s">
        <v>110</v>
      </c>
      <c r="BB124" t="s">
        <v>110</v>
      </c>
    </row>
    <row r="125" spans="1:54">
      <c r="A125" s="7" t="str">
        <f t="shared" si="66"/>
        <v>PHKGTR5295N</v>
      </c>
      <c r="B125" s="8" t="e">
        <f t="shared" si="67"/>
        <v>#VALUE!</v>
      </c>
      <c r="C125" t="str">
        <f t="shared" si="84"/>
        <v>PHKG</v>
      </c>
      <c r="D125" t="str">
        <f>"TR5"</f>
        <v>TR5</v>
      </c>
      <c r="E125" t="str">
        <f>"SUI SHUN FENG JI 928"</f>
        <v>SUI SHUN FENG JI 928</v>
      </c>
      <c r="F125" t="str">
        <f>""</f>
        <v/>
      </c>
      <c r="G125" t="str">
        <f t="shared" si="62"/>
        <v>OOCL</v>
      </c>
      <c r="H125" t="str">
        <f>""</f>
        <v/>
      </c>
      <c r="I125" t="str">
        <f>"295"</f>
        <v>295</v>
      </c>
      <c r="J125" t="str">
        <f>"N"</f>
        <v>N</v>
      </c>
      <c r="K125" t="str">
        <f>"1"</f>
        <v>1</v>
      </c>
      <c r="L125" t="str">
        <f t="shared" si="117"/>
        <v>HKG02</v>
      </c>
      <c r="M125" t="str">
        <f t="shared" si="118"/>
        <v>HIT - Hongkong International Terminals</v>
      </c>
      <c r="N125" t="str">
        <f t="shared" si="63"/>
        <v>HKG</v>
      </c>
      <c r="O125" t="str">
        <f t="shared" si="120"/>
        <v>1</v>
      </c>
      <c r="P125" t="str">
        <f>""</f>
        <v/>
      </c>
      <c r="Q125" t="str">
        <f>"295S"</f>
        <v>295S</v>
      </c>
      <c r="R125" t="str">
        <f>"295N"</f>
        <v>295N</v>
      </c>
      <c r="S125" t="str">
        <f>""</f>
        <v/>
      </c>
      <c r="T125" t="str">
        <f>"31 Jul 2019 20:00"</f>
        <v>31 Jul 2019 20:00</v>
      </c>
      <c r="U125" t="str">
        <f>"01 Aug 2019 13:00"</f>
        <v>01 Aug 2019 13:00</v>
      </c>
      <c r="V125" t="str">
        <f>"17h"</f>
        <v>17h</v>
      </c>
      <c r="W125" t="str">
        <f>"31 Jul 2019 20:00"</f>
        <v>31 Jul 2019 20:00</v>
      </c>
      <c r="X125" t="str">
        <f>""</f>
        <v/>
      </c>
      <c r="Y125" t="str">
        <f>"01 Aug 2019 13:00"</f>
        <v>01 Aug 2019 13:00</v>
      </c>
      <c r="Z125" t="str">
        <f>""</f>
        <v/>
      </c>
      <c r="AA125" t="str">
        <f>""</f>
        <v/>
      </c>
      <c r="AB125" t="str">
        <f t="shared" si="64"/>
        <v>NN</v>
      </c>
      <c r="AC125" t="str">
        <f t="shared" si="91"/>
        <v>LL</v>
      </c>
      <c r="AD125" t="str">
        <f t="shared" si="92"/>
        <v>0</v>
      </c>
      <c r="AE125" t="str">
        <f t="shared" si="92"/>
        <v>0</v>
      </c>
      <c r="AF125" t="str">
        <f t="shared" si="128"/>
        <v>31 Jul 2019 20:00</v>
      </c>
      <c r="AG125" t="str">
        <f t="shared" si="128"/>
        <v>31 Jul 2019 20:00</v>
      </c>
      <c r="AH125" t="str">
        <f t="shared" si="128"/>
        <v>31 Jul 2019 20:00</v>
      </c>
      <c r="AI125" t="str">
        <f t="shared" si="128"/>
        <v>31 Jul 2019 20:00</v>
      </c>
      <c r="AJ125" t="str">
        <f t="shared" si="128"/>
        <v>31 Jul 2019 20:00</v>
      </c>
      <c r="AK125" t="str">
        <f t="shared" si="129"/>
        <v>30 Jul 2019 00:00</v>
      </c>
      <c r="AL125" t="str">
        <f t="shared" si="129"/>
        <v>30 Jul 2019 00:00</v>
      </c>
      <c r="AM125" t="str">
        <f t="shared" si="129"/>
        <v>30 Jul 2019 00:00</v>
      </c>
      <c r="AN125" t="str">
        <f t="shared" si="129"/>
        <v>30 Jul 2019 00:00</v>
      </c>
      <c r="AO125" t="str">
        <f t="shared" si="129"/>
        <v>30 Jul 2019 00:00</v>
      </c>
      <c r="AP125" t="str">
        <f>""</f>
        <v/>
      </c>
      <c r="AQ125" t="str">
        <f>"31 Jul 2019 20:00"</f>
        <v>31 Jul 2019 20:00</v>
      </c>
      <c r="AR125" t="str">
        <f t="shared" si="124"/>
        <v>Y</v>
      </c>
      <c r="AS125" t="str">
        <f t="shared" si="124"/>
        <v>Y</v>
      </c>
      <c r="AT125" t="str">
        <f t="shared" si="124"/>
        <v>Y</v>
      </c>
      <c r="AU125" t="str">
        <f t="shared" si="127"/>
        <v>N</v>
      </c>
      <c r="AV125" t="str">
        <f t="shared" si="127"/>
        <v>N</v>
      </c>
      <c r="AW125" t="str">
        <f>""</f>
        <v/>
      </c>
      <c r="AX125" t="str">
        <f t="shared" si="65"/>
        <v>No</v>
      </c>
      <c r="AY125" t="str">
        <f>""</f>
        <v/>
      </c>
      <c r="AZ125" t="s">
        <v>12</v>
      </c>
      <c r="BA125" t="s">
        <v>110</v>
      </c>
      <c r="BB125" t="s">
        <v>110</v>
      </c>
    </row>
    <row r="126" spans="1:54">
      <c r="A126" s="7" t="str">
        <f t="shared" si="66"/>
        <v>PHKG3CH232S</v>
      </c>
      <c r="B126" s="8" t="e">
        <f t="shared" si="67"/>
        <v>#VALUE!</v>
      </c>
      <c r="C126" t="str">
        <f t="shared" si="84"/>
        <v>PHKG</v>
      </c>
      <c r="D126" t="str">
        <f>"3CH"</f>
        <v>3CH</v>
      </c>
      <c r="E126" t="str">
        <f>"JIAN GONG 888"</f>
        <v>JIAN GONG 888</v>
      </c>
      <c r="F126" t="str">
        <f>""</f>
        <v/>
      </c>
      <c r="G126" t="str">
        <f t="shared" si="62"/>
        <v>OOCL</v>
      </c>
      <c r="H126" t="str">
        <f>""</f>
        <v/>
      </c>
      <c r="I126" t="str">
        <f>"232"</f>
        <v>232</v>
      </c>
      <c r="J126" t="str">
        <f t="shared" ref="J126:J136" si="130">"S"</f>
        <v>S</v>
      </c>
      <c r="K126" t="str">
        <f>"4"</f>
        <v>4</v>
      </c>
      <c r="L126" t="str">
        <f t="shared" si="117"/>
        <v>HKG02</v>
      </c>
      <c r="M126" t="str">
        <f t="shared" si="118"/>
        <v>HIT - Hongkong International Terminals</v>
      </c>
      <c r="N126" t="str">
        <f t="shared" si="63"/>
        <v>HKG</v>
      </c>
      <c r="O126" t="str">
        <f t="shared" si="120"/>
        <v>1</v>
      </c>
      <c r="P126" t="str">
        <f>""</f>
        <v/>
      </c>
      <c r="Q126" t="str">
        <f>"232S"</f>
        <v>232S</v>
      </c>
      <c r="R126" t="str">
        <f>"232S"</f>
        <v>232S</v>
      </c>
      <c r="S126" t="str">
        <f>""</f>
        <v/>
      </c>
      <c r="T126" t="str">
        <f>"01 Aug 2019 13:00"</f>
        <v>01 Aug 2019 13:00</v>
      </c>
      <c r="U126" t="str">
        <f>"01 Aug 2019 14:00"</f>
        <v>01 Aug 2019 14:00</v>
      </c>
      <c r="V126" t="str">
        <f>"1h"</f>
        <v>1h</v>
      </c>
      <c r="W126" t="str">
        <f>"01 Aug 2019 13:00"</f>
        <v>01 Aug 2019 13:00</v>
      </c>
      <c r="X126" t="str">
        <f>""</f>
        <v/>
      </c>
      <c r="Y126" t="str">
        <f>"01 Aug 2019 14:00"</f>
        <v>01 Aug 2019 14:00</v>
      </c>
      <c r="Z126" t="str">
        <f>""</f>
        <v/>
      </c>
      <c r="AA126" t="str">
        <f>""</f>
        <v/>
      </c>
      <c r="AB126" t="str">
        <f t="shared" si="64"/>
        <v>NN</v>
      </c>
      <c r="AC126" t="str">
        <f t="shared" si="91"/>
        <v>LL</v>
      </c>
      <c r="AD126" t="str">
        <f t="shared" si="92"/>
        <v>0</v>
      </c>
      <c r="AE126" t="str">
        <f t="shared" si="92"/>
        <v>0</v>
      </c>
      <c r="AF126" t="str">
        <f>"01 Aug 2019 13:00"</f>
        <v>01 Aug 2019 13:00</v>
      </c>
      <c r="AG126" t="str">
        <f>"01 Aug 2019 13:00"</f>
        <v>01 Aug 2019 13:00</v>
      </c>
      <c r="AH126" t="str">
        <f>"01 Aug 2019 13:00"</f>
        <v>01 Aug 2019 13:00</v>
      </c>
      <c r="AI126" t="str">
        <f>"01 Aug 2019 13:00"</f>
        <v>01 Aug 2019 13:00</v>
      </c>
      <c r="AJ126" t="str">
        <f>"01 Aug 2019 13:00"</f>
        <v>01 Aug 2019 13:00</v>
      </c>
      <c r="AK126" t="str">
        <f>"01 Aug 2019 14:00"</f>
        <v>01 Aug 2019 14:00</v>
      </c>
      <c r="AL126" t="str">
        <f>"01 Aug 2019 14:00"</f>
        <v>01 Aug 2019 14:00</v>
      </c>
      <c r="AM126" t="str">
        <f>"01 Aug 2019 14:00"</f>
        <v>01 Aug 2019 14:00</v>
      </c>
      <c r="AN126" t="str">
        <f>"01 Aug 2019 14:00"</f>
        <v>01 Aug 2019 14:00</v>
      </c>
      <c r="AO126" t="str">
        <f>"01 Aug 2019 14:00"</f>
        <v>01 Aug 2019 14:00</v>
      </c>
      <c r="AP126" t="str">
        <f>""</f>
        <v/>
      </c>
      <c r="AQ126" t="str">
        <f>"01 Aug 2019 13:00"</f>
        <v>01 Aug 2019 13:00</v>
      </c>
      <c r="AR126" t="str">
        <f t="shared" si="124"/>
        <v>Y</v>
      </c>
      <c r="AS126" t="str">
        <f t="shared" si="124"/>
        <v>Y</v>
      </c>
      <c r="AT126" t="str">
        <f t="shared" si="124"/>
        <v>Y</v>
      </c>
      <c r="AU126" t="str">
        <f t="shared" si="127"/>
        <v>N</v>
      </c>
      <c r="AV126" t="str">
        <f t="shared" si="127"/>
        <v>N</v>
      </c>
      <c r="AW126" t="str">
        <f>""</f>
        <v/>
      </c>
      <c r="AX126" t="str">
        <f t="shared" si="65"/>
        <v>No</v>
      </c>
      <c r="AY126" t="str">
        <f>""</f>
        <v/>
      </c>
      <c r="AZ126" t="s">
        <v>12</v>
      </c>
      <c r="BA126" t="s">
        <v>110</v>
      </c>
      <c r="BB126" t="s">
        <v>110</v>
      </c>
    </row>
    <row r="127" spans="1:54">
      <c r="A127" s="7" t="str">
        <f t="shared" si="66"/>
        <v>PHKG2VT7374</v>
      </c>
      <c r="B127" s="8">
        <f t="shared" si="67"/>
        <v>43678.666666666664</v>
      </c>
      <c r="C127" t="str">
        <f t="shared" si="84"/>
        <v>PHKG</v>
      </c>
      <c r="D127" t="str">
        <f>"2VT"</f>
        <v>2VT</v>
      </c>
      <c r="E127" t="str">
        <f>"KWONG FEI"</f>
        <v>KWONG FEI</v>
      </c>
      <c r="F127" t="str">
        <f>""</f>
        <v/>
      </c>
      <c r="G127" t="str">
        <f t="shared" si="62"/>
        <v>OOCL</v>
      </c>
      <c r="H127" t="str">
        <f>""</f>
        <v/>
      </c>
      <c r="I127" t="str">
        <f>"285"</f>
        <v>285</v>
      </c>
      <c r="J127" t="str">
        <f t="shared" si="130"/>
        <v>S</v>
      </c>
      <c r="K127" t="str">
        <f>"2"</f>
        <v>2</v>
      </c>
      <c r="L127" t="str">
        <f t="shared" si="117"/>
        <v>HKG02</v>
      </c>
      <c r="M127" t="str">
        <f t="shared" si="118"/>
        <v>HIT - Hongkong International Terminals</v>
      </c>
      <c r="N127" t="str">
        <f t="shared" si="63"/>
        <v>HKG</v>
      </c>
      <c r="O127" t="str">
        <f t="shared" si="120"/>
        <v>1</v>
      </c>
      <c r="P127" t="str">
        <f>""</f>
        <v/>
      </c>
      <c r="Q127" t="str">
        <f>"7374"</f>
        <v>7374</v>
      </c>
      <c r="R127" t="str">
        <f>"7374"</f>
        <v>7374</v>
      </c>
      <c r="S127" t="str">
        <f>""</f>
        <v/>
      </c>
      <c r="T127" t="str">
        <f>"01 Aug 2019 15:00"</f>
        <v>01 Aug 2019 15:00</v>
      </c>
      <c r="U127" t="str">
        <f>"01 Aug 2019 16:00"</f>
        <v>01 Aug 2019 16:00</v>
      </c>
      <c r="V127" t="str">
        <f>"1h"</f>
        <v>1h</v>
      </c>
      <c r="W127" t="str">
        <f>"01 Aug 2019 15:00"</f>
        <v>01 Aug 2019 15:00</v>
      </c>
      <c r="X127" t="str">
        <f>""</f>
        <v/>
      </c>
      <c r="Y127" t="str">
        <f>"01 Aug 2019 16:00"</f>
        <v>01 Aug 2019 16:00</v>
      </c>
      <c r="Z127" t="str">
        <f>""</f>
        <v/>
      </c>
      <c r="AA127" t="str">
        <f>""</f>
        <v/>
      </c>
      <c r="AB127" t="str">
        <f t="shared" si="64"/>
        <v>NN</v>
      </c>
      <c r="AC127" t="str">
        <f t="shared" si="91"/>
        <v>LL</v>
      </c>
      <c r="AD127" t="str">
        <f t="shared" si="92"/>
        <v>0</v>
      </c>
      <c r="AE127" t="str">
        <f t="shared" si="92"/>
        <v>0</v>
      </c>
      <c r="AF127" t="str">
        <f t="shared" ref="AF127:AO127" si="131">"01 Aug 2019 15:00"</f>
        <v>01 Aug 2019 15:00</v>
      </c>
      <c r="AG127" t="str">
        <f t="shared" si="131"/>
        <v>01 Aug 2019 15:00</v>
      </c>
      <c r="AH127" t="str">
        <f t="shared" si="131"/>
        <v>01 Aug 2019 15:00</v>
      </c>
      <c r="AI127" t="str">
        <f t="shared" si="131"/>
        <v>01 Aug 2019 15:00</v>
      </c>
      <c r="AJ127" t="str">
        <f t="shared" si="131"/>
        <v>01 Aug 2019 15:00</v>
      </c>
      <c r="AK127" t="str">
        <f t="shared" si="131"/>
        <v>01 Aug 2019 15:00</v>
      </c>
      <c r="AL127" t="str">
        <f t="shared" si="131"/>
        <v>01 Aug 2019 15:00</v>
      </c>
      <c r="AM127" t="str">
        <f t="shared" si="131"/>
        <v>01 Aug 2019 15:00</v>
      </c>
      <c r="AN127" t="str">
        <f t="shared" si="131"/>
        <v>01 Aug 2019 15:00</v>
      </c>
      <c r="AO127" t="str">
        <f t="shared" si="131"/>
        <v>01 Aug 2019 15:00</v>
      </c>
      <c r="AP127" t="str">
        <f>"01 Aug 2019 16:00"</f>
        <v>01 Aug 2019 16:00</v>
      </c>
      <c r="AQ127" t="str">
        <f>"01 Aug 2019 15:00"</f>
        <v>01 Aug 2019 15:00</v>
      </c>
      <c r="AR127" t="str">
        <f t="shared" si="124"/>
        <v>Y</v>
      </c>
      <c r="AS127" t="str">
        <f t="shared" si="124"/>
        <v>Y</v>
      </c>
      <c r="AT127" t="str">
        <f t="shared" si="124"/>
        <v>Y</v>
      </c>
      <c r="AU127" t="str">
        <f t="shared" si="127"/>
        <v>N</v>
      </c>
      <c r="AV127" t="str">
        <f t="shared" si="127"/>
        <v>N</v>
      </c>
      <c r="AW127" t="str">
        <f>""</f>
        <v/>
      </c>
      <c r="AX127" t="str">
        <f t="shared" si="65"/>
        <v>No</v>
      </c>
      <c r="AY127" t="str">
        <f>""</f>
        <v/>
      </c>
      <c r="AZ127" t="s">
        <v>12</v>
      </c>
      <c r="BA127" t="s">
        <v>110</v>
      </c>
      <c r="BB127" t="s">
        <v>110</v>
      </c>
    </row>
    <row r="128" spans="1:54">
      <c r="A128" s="7" t="str">
        <f t="shared" si="66"/>
        <v>PHKG2VT7374</v>
      </c>
      <c r="B128" s="8" t="e">
        <f t="shared" si="67"/>
        <v>#VALUE!</v>
      </c>
      <c r="C128" t="str">
        <f t="shared" si="84"/>
        <v>PHKG</v>
      </c>
      <c r="D128" t="str">
        <f>"2VT"</f>
        <v>2VT</v>
      </c>
      <c r="E128" t="str">
        <f>"KWONG FEI"</f>
        <v>KWONG FEI</v>
      </c>
      <c r="F128" t="str">
        <f>""</f>
        <v/>
      </c>
      <c r="G128" t="str">
        <f t="shared" si="62"/>
        <v>OOCL</v>
      </c>
      <c r="H128" t="str">
        <f>""</f>
        <v/>
      </c>
      <c r="I128" t="str">
        <f>"285"</f>
        <v>285</v>
      </c>
      <c r="J128" t="str">
        <f t="shared" si="130"/>
        <v>S</v>
      </c>
      <c r="K128" t="str">
        <f>"3"</f>
        <v>3</v>
      </c>
      <c r="L128" t="str">
        <f>"HKG04"</f>
        <v>HKG04</v>
      </c>
      <c r="M128" t="str">
        <f>"Cosco - HIT Terminals (HK) Ltd"</f>
        <v>Cosco - HIT Terminals (HK) Ltd</v>
      </c>
      <c r="N128" t="str">
        <f t="shared" si="63"/>
        <v>HKG</v>
      </c>
      <c r="O128" t="str">
        <f>"2"</f>
        <v>2</v>
      </c>
      <c r="P128" t="str">
        <f>""</f>
        <v/>
      </c>
      <c r="Q128" t="str">
        <f>"7374"</f>
        <v>7374</v>
      </c>
      <c r="R128" t="str">
        <f>"7374"</f>
        <v>7374</v>
      </c>
      <c r="S128" t="str">
        <f>""</f>
        <v/>
      </c>
      <c r="T128" t="str">
        <f>"01 Aug 2019 21:00"</f>
        <v>01 Aug 2019 21:00</v>
      </c>
      <c r="U128" t="str">
        <f>"01 Aug 2019 22:00"</f>
        <v>01 Aug 2019 22:00</v>
      </c>
      <c r="V128" t="str">
        <f>"1h"</f>
        <v>1h</v>
      </c>
      <c r="W128" t="str">
        <f>"01 Aug 2019 21:00"</f>
        <v>01 Aug 2019 21:00</v>
      </c>
      <c r="X128" t="str">
        <f>""</f>
        <v/>
      </c>
      <c r="Y128" t="str">
        <f>"01 Aug 2019 22:00"</f>
        <v>01 Aug 2019 22:00</v>
      </c>
      <c r="Z128" t="str">
        <f>""</f>
        <v/>
      </c>
      <c r="AA128" t="str">
        <f>""</f>
        <v/>
      </c>
      <c r="AB128" t="str">
        <f t="shared" si="64"/>
        <v>NN</v>
      </c>
      <c r="AC128" t="str">
        <f t="shared" si="91"/>
        <v>LL</v>
      </c>
      <c r="AD128" t="str">
        <f t="shared" si="92"/>
        <v>0</v>
      </c>
      <c r="AE128" t="str">
        <f t="shared" si="92"/>
        <v>0</v>
      </c>
      <c r="AF128" t="str">
        <f>"01 Aug 2019 21:00"</f>
        <v>01 Aug 2019 21:00</v>
      </c>
      <c r="AG128" t="str">
        <f>"01 Aug 2019 21:00"</f>
        <v>01 Aug 2019 21:00</v>
      </c>
      <c r="AH128" t="str">
        <f>"01 Aug 2019 21:00"</f>
        <v>01 Aug 2019 21:00</v>
      </c>
      <c r="AI128" t="str">
        <f>"01 Aug 2019 21:00"</f>
        <v>01 Aug 2019 21:00</v>
      </c>
      <c r="AJ128" t="str">
        <f>"01 Aug 2019 21:00"</f>
        <v>01 Aug 2019 21:00</v>
      </c>
      <c r="AK128" t="str">
        <f>"01 Aug 2019 22:00"</f>
        <v>01 Aug 2019 22:00</v>
      </c>
      <c r="AL128" t="str">
        <f>"01 Aug 2019 22:00"</f>
        <v>01 Aug 2019 22:00</v>
      </c>
      <c r="AM128" t="str">
        <f>"01 Aug 2019 22:00"</f>
        <v>01 Aug 2019 22:00</v>
      </c>
      <c r="AN128" t="str">
        <f>"01 Aug 2019 22:00"</f>
        <v>01 Aug 2019 22:00</v>
      </c>
      <c r="AO128" t="str">
        <f>"01 Aug 2019 22:00"</f>
        <v>01 Aug 2019 22:00</v>
      </c>
      <c r="AP128" t="str">
        <f>""</f>
        <v/>
      </c>
      <c r="AQ128" t="str">
        <f>"01 Aug 2019 21:00"</f>
        <v>01 Aug 2019 21:00</v>
      </c>
      <c r="AR128" t="str">
        <f t="shared" si="124"/>
        <v>Y</v>
      </c>
      <c r="AS128" t="str">
        <f t="shared" si="124"/>
        <v>Y</v>
      </c>
      <c r="AT128" t="str">
        <f t="shared" si="124"/>
        <v>Y</v>
      </c>
      <c r="AU128" t="str">
        <f t="shared" si="127"/>
        <v>N</v>
      </c>
      <c r="AV128" t="str">
        <f t="shared" si="127"/>
        <v>N</v>
      </c>
      <c r="AW128" t="str">
        <f>""</f>
        <v/>
      </c>
      <c r="AX128" t="str">
        <f t="shared" si="65"/>
        <v>No</v>
      </c>
      <c r="AY128" t="str">
        <f>""</f>
        <v/>
      </c>
      <c r="AZ128" t="s">
        <v>12</v>
      </c>
      <c r="BA128" t="s">
        <v>110</v>
      </c>
      <c r="BB128" t="s">
        <v>110</v>
      </c>
    </row>
    <row r="129" spans="1:54">
      <c r="A129" s="7" t="str">
        <f t="shared" si="66"/>
        <v>PHKG2VT7376</v>
      </c>
      <c r="B129" s="8">
        <f t="shared" si="67"/>
        <v>43679.666666666664</v>
      </c>
      <c r="C129" t="str">
        <f t="shared" si="84"/>
        <v>PHKG</v>
      </c>
      <c r="D129" t="str">
        <f>"2VT"</f>
        <v>2VT</v>
      </c>
      <c r="E129" t="str">
        <f>"KWONG FEI"</f>
        <v>KWONG FEI</v>
      </c>
      <c r="F129" t="str">
        <f>""</f>
        <v/>
      </c>
      <c r="G129" t="str">
        <f t="shared" si="62"/>
        <v>OOCL</v>
      </c>
      <c r="H129" t="str">
        <f>""</f>
        <v/>
      </c>
      <c r="I129" t="str">
        <f>"286"</f>
        <v>286</v>
      </c>
      <c r="J129" t="str">
        <f t="shared" si="130"/>
        <v>S</v>
      </c>
      <c r="K129" t="str">
        <f>"2"</f>
        <v>2</v>
      </c>
      <c r="L129" t="str">
        <f>"HKG02"</f>
        <v>HKG02</v>
      </c>
      <c r="M129" t="str">
        <f>"HIT - Hongkong International Terminals"</f>
        <v>HIT - Hongkong International Terminals</v>
      </c>
      <c r="N129" t="str">
        <f t="shared" si="63"/>
        <v>HKG</v>
      </c>
      <c r="O129" t="str">
        <f>"1"</f>
        <v>1</v>
      </c>
      <c r="P129" t="str">
        <f>""</f>
        <v/>
      </c>
      <c r="Q129" t="str">
        <f>"7376"</f>
        <v>7376</v>
      </c>
      <c r="R129" t="str">
        <f>"7376"</f>
        <v>7376</v>
      </c>
      <c r="S129" t="str">
        <f>""</f>
        <v/>
      </c>
      <c r="T129" t="str">
        <f>"02 Aug 2019 15:00"</f>
        <v>02 Aug 2019 15:00</v>
      </c>
      <c r="U129" t="str">
        <f>"02 Aug 2019 16:00"</f>
        <v>02 Aug 2019 16:00</v>
      </c>
      <c r="V129" t="str">
        <f>"1h"</f>
        <v>1h</v>
      </c>
      <c r="W129" t="str">
        <f>"02 Aug 2019 15:00"</f>
        <v>02 Aug 2019 15:00</v>
      </c>
      <c r="X129" t="str">
        <f>""</f>
        <v/>
      </c>
      <c r="Y129" t="str">
        <f>"02 Aug 2019 16:00"</f>
        <v>02 Aug 2019 16:00</v>
      </c>
      <c r="Z129" t="str">
        <f>""</f>
        <v/>
      </c>
      <c r="AA129" t="str">
        <f>""</f>
        <v/>
      </c>
      <c r="AB129" t="str">
        <f t="shared" si="64"/>
        <v>NN</v>
      </c>
      <c r="AC129" t="str">
        <f t="shared" si="91"/>
        <v>LL</v>
      </c>
      <c r="AD129" t="str">
        <f t="shared" si="92"/>
        <v>0</v>
      </c>
      <c r="AE129" t="str">
        <f t="shared" si="92"/>
        <v>0</v>
      </c>
      <c r="AF129" t="str">
        <f t="shared" ref="AF129:AO129" si="132">"02 Aug 2019 15:00"</f>
        <v>02 Aug 2019 15:00</v>
      </c>
      <c r="AG129" t="str">
        <f t="shared" si="132"/>
        <v>02 Aug 2019 15:00</v>
      </c>
      <c r="AH129" t="str">
        <f t="shared" si="132"/>
        <v>02 Aug 2019 15:00</v>
      </c>
      <c r="AI129" t="str">
        <f t="shared" si="132"/>
        <v>02 Aug 2019 15:00</v>
      </c>
      <c r="AJ129" t="str">
        <f t="shared" si="132"/>
        <v>02 Aug 2019 15:00</v>
      </c>
      <c r="AK129" t="str">
        <f t="shared" si="132"/>
        <v>02 Aug 2019 15:00</v>
      </c>
      <c r="AL129" t="str">
        <f t="shared" si="132"/>
        <v>02 Aug 2019 15:00</v>
      </c>
      <c r="AM129" t="str">
        <f t="shared" si="132"/>
        <v>02 Aug 2019 15:00</v>
      </c>
      <c r="AN129" t="str">
        <f t="shared" si="132"/>
        <v>02 Aug 2019 15:00</v>
      </c>
      <c r="AO129" t="str">
        <f t="shared" si="132"/>
        <v>02 Aug 2019 15:00</v>
      </c>
      <c r="AP129" t="str">
        <f>"02 Aug 2019 16:00"</f>
        <v>02 Aug 2019 16:00</v>
      </c>
      <c r="AQ129" t="str">
        <f>"02 Aug 2019 15:00"</f>
        <v>02 Aug 2019 15:00</v>
      </c>
      <c r="AR129" t="str">
        <f t="shared" si="124"/>
        <v>Y</v>
      </c>
      <c r="AS129" t="str">
        <f t="shared" si="124"/>
        <v>Y</v>
      </c>
      <c r="AT129" t="str">
        <f t="shared" si="124"/>
        <v>Y</v>
      </c>
      <c r="AU129" t="str">
        <f t="shared" si="127"/>
        <v>N</v>
      </c>
      <c r="AV129" t="str">
        <f t="shared" si="127"/>
        <v>N</v>
      </c>
      <c r="AW129" t="str">
        <f>""</f>
        <v/>
      </c>
      <c r="AX129" t="str">
        <f t="shared" si="65"/>
        <v>No</v>
      </c>
      <c r="AY129" t="str">
        <f>""</f>
        <v/>
      </c>
      <c r="AZ129" t="s">
        <v>12</v>
      </c>
      <c r="BA129" t="s">
        <v>110</v>
      </c>
      <c r="BB129" t="s">
        <v>110</v>
      </c>
    </row>
    <row r="130" spans="1:54">
      <c r="A130" s="7" t="str">
        <f t="shared" si="66"/>
        <v>PHKG2VT7376</v>
      </c>
      <c r="B130" s="8" t="e">
        <f t="shared" si="67"/>
        <v>#VALUE!</v>
      </c>
      <c r="C130" t="str">
        <f t="shared" si="84"/>
        <v>PHKG</v>
      </c>
      <c r="D130" t="str">
        <f>"2VT"</f>
        <v>2VT</v>
      </c>
      <c r="E130" t="str">
        <f>"KWONG FEI"</f>
        <v>KWONG FEI</v>
      </c>
      <c r="F130" t="str">
        <f>""</f>
        <v/>
      </c>
      <c r="G130" t="str">
        <f t="shared" ref="G130:G193" si="133">"OOCL"</f>
        <v>OOCL</v>
      </c>
      <c r="H130" t="str">
        <f>""</f>
        <v/>
      </c>
      <c r="I130" t="str">
        <f>"286"</f>
        <v>286</v>
      </c>
      <c r="J130" t="str">
        <f t="shared" si="130"/>
        <v>S</v>
      </c>
      <c r="K130" t="str">
        <f>"3"</f>
        <v>3</v>
      </c>
      <c r="L130" t="str">
        <f>"HKG04"</f>
        <v>HKG04</v>
      </c>
      <c r="M130" t="str">
        <f>"Cosco - HIT Terminals (HK) Ltd"</f>
        <v>Cosco - HIT Terminals (HK) Ltd</v>
      </c>
      <c r="N130" t="str">
        <f t="shared" ref="N130:N193" si="134">"HKG"</f>
        <v>HKG</v>
      </c>
      <c r="O130" t="str">
        <f>"2"</f>
        <v>2</v>
      </c>
      <c r="P130" t="str">
        <f>""</f>
        <v/>
      </c>
      <c r="Q130" t="str">
        <f>"7376"</f>
        <v>7376</v>
      </c>
      <c r="R130" t="str">
        <f>"7376"</f>
        <v>7376</v>
      </c>
      <c r="S130" t="str">
        <f>""</f>
        <v/>
      </c>
      <c r="T130" t="str">
        <f>"02 Aug 2019 21:00"</f>
        <v>02 Aug 2019 21:00</v>
      </c>
      <c r="U130" t="str">
        <f>"02 Aug 2019 22:00"</f>
        <v>02 Aug 2019 22:00</v>
      </c>
      <c r="V130" t="str">
        <f>"1h"</f>
        <v>1h</v>
      </c>
      <c r="W130" t="str">
        <f>"02 Aug 2019 21:00"</f>
        <v>02 Aug 2019 21:00</v>
      </c>
      <c r="X130" t="str">
        <f>""</f>
        <v/>
      </c>
      <c r="Y130" t="str">
        <f>"02 Aug 2019 22:00"</f>
        <v>02 Aug 2019 22:00</v>
      </c>
      <c r="Z130" t="str">
        <f>""</f>
        <v/>
      </c>
      <c r="AA130" t="str">
        <f>""</f>
        <v/>
      </c>
      <c r="AB130" t="str">
        <f t="shared" ref="AB130:AB193" si="135">"NN"</f>
        <v>NN</v>
      </c>
      <c r="AC130" t="str">
        <f t="shared" si="91"/>
        <v>LL</v>
      </c>
      <c r="AD130" t="str">
        <f t="shared" si="92"/>
        <v>0</v>
      </c>
      <c r="AE130" t="str">
        <f t="shared" si="92"/>
        <v>0</v>
      </c>
      <c r="AF130" t="str">
        <f>"02 Aug 2019 21:00"</f>
        <v>02 Aug 2019 21:00</v>
      </c>
      <c r="AG130" t="str">
        <f>"02 Aug 2019 21:00"</f>
        <v>02 Aug 2019 21:00</v>
      </c>
      <c r="AH130" t="str">
        <f>"02 Aug 2019 21:00"</f>
        <v>02 Aug 2019 21:00</v>
      </c>
      <c r="AI130" t="str">
        <f>"02 Aug 2019 21:00"</f>
        <v>02 Aug 2019 21:00</v>
      </c>
      <c r="AJ130" t="str">
        <f>"02 Aug 2019 21:00"</f>
        <v>02 Aug 2019 21:00</v>
      </c>
      <c r="AK130" t="str">
        <f>"02 Aug 2019 22:00"</f>
        <v>02 Aug 2019 22:00</v>
      </c>
      <c r="AL130" t="str">
        <f>"02 Aug 2019 22:00"</f>
        <v>02 Aug 2019 22:00</v>
      </c>
      <c r="AM130" t="str">
        <f>"02 Aug 2019 22:00"</f>
        <v>02 Aug 2019 22:00</v>
      </c>
      <c r="AN130" t="str">
        <f>"02 Aug 2019 22:00"</f>
        <v>02 Aug 2019 22:00</v>
      </c>
      <c r="AO130" t="str">
        <f>"02 Aug 2019 22:00"</f>
        <v>02 Aug 2019 22:00</v>
      </c>
      <c r="AP130" t="str">
        <f>""</f>
        <v/>
      </c>
      <c r="AQ130" t="str">
        <f>"02 Aug 2019 21:00"</f>
        <v>02 Aug 2019 21:00</v>
      </c>
      <c r="AR130" t="str">
        <f t="shared" si="124"/>
        <v>Y</v>
      </c>
      <c r="AS130" t="str">
        <f t="shared" si="124"/>
        <v>Y</v>
      </c>
      <c r="AT130" t="str">
        <f t="shared" si="124"/>
        <v>Y</v>
      </c>
      <c r="AU130" t="str">
        <f t="shared" si="127"/>
        <v>N</v>
      </c>
      <c r="AV130" t="str">
        <f t="shared" si="127"/>
        <v>N</v>
      </c>
      <c r="AW130" t="str">
        <f>""</f>
        <v/>
      </c>
      <c r="AX130" t="str">
        <f t="shared" ref="AX130:AX193" si="136">"No"</f>
        <v>No</v>
      </c>
      <c r="AY130" t="str">
        <f>""</f>
        <v/>
      </c>
      <c r="AZ130" t="s">
        <v>12</v>
      </c>
      <c r="BA130" t="s">
        <v>110</v>
      </c>
      <c r="BB130" t="s">
        <v>110</v>
      </c>
    </row>
    <row r="131" spans="1:54">
      <c r="A131" s="7" t="str">
        <f t="shared" ref="A131:A194" si="137">C131&amp;D131&amp;R131</f>
        <v>PHKG5DI195S</v>
      </c>
      <c r="B131" s="8" t="e">
        <f t="shared" ref="B131:B194" si="138">+AP131-0</f>
        <v>#VALUE!</v>
      </c>
      <c r="C131" t="str">
        <f t="shared" si="84"/>
        <v>PHKG</v>
      </c>
      <c r="D131" t="str">
        <f>"5DI"</f>
        <v>5DI</v>
      </c>
      <c r="E131" t="str">
        <f>"BAI FU 8 HAO"</f>
        <v>BAI FU 8 HAO</v>
      </c>
      <c r="F131" t="str">
        <f>"SNW"</f>
        <v>SNW</v>
      </c>
      <c r="G131" t="str">
        <f t="shared" si="133"/>
        <v>OOCL</v>
      </c>
      <c r="H131" t="str">
        <f>""</f>
        <v/>
      </c>
      <c r="I131" t="str">
        <f>"195"</f>
        <v>195</v>
      </c>
      <c r="J131" t="str">
        <f t="shared" si="130"/>
        <v>S</v>
      </c>
      <c r="K131" t="str">
        <f t="shared" ref="K131:K136" si="139">"2"</f>
        <v>2</v>
      </c>
      <c r="L131" t="str">
        <f t="shared" ref="L131:L151" si="140">"HKG02"</f>
        <v>HKG02</v>
      </c>
      <c r="M131" t="str">
        <f t="shared" ref="M131:M151" si="141">"HIT - Hongkong International Terminals"</f>
        <v>HIT - Hongkong International Terminals</v>
      </c>
      <c r="N131" t="str">
        <f t="shared" si="134"/>
        <v>HKG</v>
      </c>
      <c r="O131" t="str">
        <f t="shared" ref="O131:O181" si="142">"1"</f>
        <v>1</v>
      </c>
      <c r="P131" t="str">
        <f>"CN20055352"</f>
        <v>CN20055352</v>
      </c>
      <c r="Q131" t="str">
        <f>"195S"</f>
        <v>195S</v>
      </c>
      <c r="R131" t="str">
        <f>"195S"</f>
        <v>195S</v>
      </c>
      <c r="S131" t="str">
        <f>""</f>
        <v/>
      </c>
      <c r="T131" t="str">
        <f>"01 Aug 2019 15:00"</f>
        <v>01 Aug 2019 15:00</v>
      </c>
      <c r="U131" t="str">
        <f>"01 Aug 2019 17:00"</f>
        <v>01 Aug 2019 17:00</v>
      </c>
      <c r="V131" t="str">
        <f>"2h"</f>
        <v>2h</v>
      </c>
      <c r="W131" t="str">
        <f>"01 Aug 2019 15:00"</f>
        <v>01 Aug 2019 15:00</v>
      </c>
      <c r="X131" t="str">
        <f>""</f>
        <v/>
      </c>
      <c r="Y131" t="str">
        <f>"01 Aug 2019 17:00"</f>
        <v>01 Aug 2019 17:00</v>
      </c>
      <c r="Z131" t="str">
        <f>""</f>
        <v/>
      </c>
      <c r="AA131" t="str">
        <f>""</f>
        <v/>
      </c>
      <c r="AB131" t="str">
        <f t="shared" si="135"/>
        <v>NN</v>
      </c>
      <c r="AC131" t="str">
        <f t="shared" si="91"/>
        <v>LL</v>
      </c>
      <c r="AD131" t="str">
        <f t="shared" si="92"/>
        <v>0</v>
      </c>
      <c r="AE131" t="str">
        <f t="shared" si="92"/>
        <v>0</v>
      </c>
      <c r="AF131" t="str">
        <f>"01 Aug 2019 15:00"</f>
        <v>01 Aug 2019 15:00</v>
      </c>
      <c r="AG131" t="str">
        <f>"01 Aug 2019 15:00"</f>
        <v>01 Aug 2019 15:00</v>
      </c>
      <c r="AH131" t="str">
        <f>"01 Aug 2019 15:00"</f>
        <v>01 Aug 2019 15:00</v>
      </c>
      <c r="AI131" t="str">
        <f>"01 Aug 2019 15:00"</f>
        <v>01 Aug 2019 15:00</v>
      </c>
      <c r="AJ131" t="str">
        <f>"01 Aug 2019 15:00"</f>
        <v>01 Aug 2019 15:00</v>
      </c>
      <c r="AK131" t="str">
        <f t="shared" ref="AK131:AO134" si="143">"01 Aug 2019 17:00"</f>
        <v>01 Aug 2019 17:00</v>
      </c>
      <c r="AL131" t="str">
        <f t="shared" si="143"/>
        <v>01 Aug 2019 17:00</v>
      </c>
      <c r="AM131" t="str">
        <f t="shared" si="143"/>
        <v>01 Aug 2019 17:00</v>
      </c>
      <c r="AN131" t="str">
        <f t="shared" si="143"/>
        <v>01 Aug 2019 17:00</v>
      </c>
      <c r="AO131" t="str">
        <f t="shared" si="143"/>
        <v>01 Aug 2019 17:00</v>
      </c>
      <c r="AP131" t="str">
        <f>""</f>
        <v/>
      </c>
      <c r="AQ131" t="str">
        <f>"01 Aug 2019 15:00"</f>
        <v>01 Aug 2019 15:00</v>
      </c>
      <c r="AR131" t="str">
        <f t="shared" si="124"/>
        <v>Y</v>
      </c>
      <c r="AS131" t="str">
        <f t="shared" si="124"/>
        <v>Y</v>
      </c>
      <c r="AT131" t="str">
        <f t="shared" si="124"/>
        <v>Y</v>
      </c>
      <c r="AU131" t="str">
        <f t="shared" si="127"/>
        <v>N</v>
      </c>
      <c r="AV131" t="str">
        <f t="shared" si="127"/>
        <v>N</v>
      </c>
      <c r="AW131" t="str">
        <f>""</f>
        <v/>
      </c>
      <c r="AX131" t="str">
        <f t="shared" si="136"/>
        <v>No</v>
      </c>
      <c r="AY131" t="str">
        <f>""</f>
        <v/>
      </c>
      <c r="AZ131" t="s">
        <v>12</v>
      </c>
      <c r="BA131" t="s">
        <v>110</v>
      </c>
      <c r="BB131" t="s">
        <v>110</v>
      </c>
    </row>
    <row r="132" spans="1:54">
      <c r="A132" s="7" t="str">
        <f t="shared" si="137"/>
        <v>PHKG6FP160S</v>
      </c>
      <c r="B132" s="8" t="e">
        <f t="shared" si="138"/>
        <v>#VALUE!</v>
      </c>
      <c r="C132" t="str">
        <f t="shared" si="84"/>
        <v>PHKG</v>
      </c>
      <c r="D132" t="str">
        <f>"6FP"</f>
        <v>6FP</v>
      </c>
      <c r="E132" t="str">
        <f>"DONG YUN 383"</f>
        <v>DONG YUN 383</v>
      </c>
      <c r="F132" t="str">
        <f>""</f>
        <v/>
      </c>
      <c r="G132" t="str">
        <f t="shared" si="133"/>
        <v>OOCL</v>
      </c>
      <c r="H132" t="str">
        <f>""</f>
        <v/>
      </c>
      <c r="I132" t="str">
        <f>"160"</f>
        <v>160</v>
      </c>
      <c r="J132" t="str">
        <f t="shared" si="130"/>
        <v>S</v>
      </c>
      <c r="K132" t="str">
        <f t="shared" si="139"/>
        <v>2</v>
      </c>
      <c r="L132" t="str">
        <f t="shared" si="140"/>
        <v>HKG02</v>
      </c>
      <c r="M132" t="str">
        <f t="shared" si="141"/>
        <v>HIT - Hongkong International Terminals</v>
      </c>
      <c r="N132" t="str">
        <f t="shared" si="134"/>
        <v>HKG</v>
      </c>
      <c r="O132" t="str">
        <f t="shared" si="142"/>
        <v>1</v>
      </c>
      <c r="P132" t="str">
        <f>""</f>
        <v/>
      </c>
      <c r="Q132" t="str">
        <f>"160S"</f>
        <v>160S</v>
      </c>
      <c r="R132" t="str">
        <f>"160S"</f>
        <v>160S</v>
      </c>
      <c r="S132" t="str">
        <f>""</f>
        <v/>
      </c>
      <c r="T132" t="str">
        <f>"01 Aug 2019 16:00"</f>
        <v>01 Aug 2019 16:00</v>
      </c>
      <c r="U132" t="str">
        <f>"01 Aug 2019 17:00"</f>
        <v>01 Aug 2019 17:00</v>
      </c>
      <c r="V132" t="str">
        <f>"1h"</f>
        <v>1h</v>
      </c>
      <c r="W132" t="str">
        <f>"01 Aug 2019 16:00"</f>
        <v>01 Aug 2019 16:00</v>
      </c>
      <c r="X132" t="str">
        <f>""</f>
        <v/>
      </c>
      <c r="Y132" t="str">
        <f>"01 Aug 2019 17:00"</f>
        <v>01 Aug 2019 17:00</v>
      </c>
      <c r="Z132" t="str">
        <f>""</f>
        <v/>
      </c>
      <c r="AA132" t="str">
        <f>""</f>
        <v/>
      </c>
      <c r="AB132" t="str">
        <f t="shared" si="135"/>
        <v>NN</v>
      </c>
      <c r="AC132" t="str">
        <f t="shared" si="91"/>
        <v>LL</v>
      </c>
      <c r="AD132" t="str">
        <f t="shared" si="92"/>
        <v>0</v>
      </c>
      <c r="AE132" t="str">
        <f t="shared" si="92"/>
        <v>0</v>
      </c>
      <c r="AF132" t="str">
        <f>"01 Aug 2019 16:00"</f>
        <v>01 Aug 2019 16:00</v>
      </c>
      <c r="AG132" t="str">
        <f>"01 Aug 2019 16:00"</f>
        <v>01 Aug 2019 16:00</v>
      </c>
      <c r="AH132" t="str">
        <f>"01 Aug 2019 16:00"</f>
        <v>01 Aug 2019 16:00</v>
      </c>
      <c r="AI132" t="str">
        <f>"01 Aug 2019 16:00"</f>
        <v>01 Aug 2019 16:00</v>
      </c>
      <c r="AJ132" t="str">
        <f>"01 Aug 2019 16:00"</f>
        <v>01 Aug 2019 16:00</v>
      </c>
      <c r="AK132" t="str">
        <f t="shared" si="143"/>
        <v>01 Aug 2019 17:00</v>
      </c>
      <c r="AL132" t="str">
        <f t="shared" si="143"/>
        <v>01 Aug 2019 17:00</v>
      </c>
      <c r="AM132" t="str">
        <f t="shared" si="143"/>
        <v>01 Aug 2019 17:00</v>
      </c>
      <c r="AN132" t="str">
        <f t="shared" si="143"/>
        <v>01 Aug 2019 17:00</v>
      </c>
      <c r="AO132" t="str">
        <f t="shared" si="143"/>
        <v>01 Aug 2019 17:00</v>
      </c>
      <c r="AP132" t="str">
        <f>""</f>
        <v/>
      </c>
      <c r="AQ132" t="str">
        <f>"01 Aug 2019 16:00"</f>
        <v>01 Aug 2019 16:00</v>
      </c>
      <c r="AR132" t="str">
        <f t="shared" si="124"/>
        <v>Y</v>
      </c>
      <c r="AS132" t="str">
        <f t="shared" si="124"/>
        <v>Y</v>
      </c>
      <c r="AT132" t="str">
        <f t="shared" si="124"/>
        <v>Y</v>
      </c>
      <c r="AU132" t="str">
        <f t="shared" si="127"/>
        <v>N</v>
      </c>
      <c r="AV132" t="str">
        <f t="shared" si="127"/>
        <v>N</v>
      </c>
      <c r="AW132" t="str">
        <f>""</f>
        <v/>
      </c>
      <c r="AX132" t="str">
        <f t="shared" si="136"/>
        <v>No</v>
      </c>
      <c r="AY132" t="str">
        <f>""</f>
        <v/>
      </c>
      <c r="AZ132" t="s">
        <v>12</v>
      </c>
      <c r="BA132" t="s">
        <v>110</v>
      </c>
      <c r="BB132" t="s">
        <v>129</v>
      </c>
    </row>
    <row r="133" spans="1:54">
      <c r="A133" s="7" t="str">
        <f t="shared" si="137"/>
        <v>PHKG6RA167S</v>
      </c>
      <c r="B133" s="8" t="e">
        <f t="shared" si="138"/>
        <v>#VALUE!</v>
      </c>
      <c r="C133" t="str">
        <f t="shared" si="84"/>
        <v>PHKG</v>
      </c>
      <c r="D133" t="str">
        <f>"6RA"</f>
        <v>6RA</v>
      </c>
      <c r="E133" t="str">
        <f>"DONG YUN 138"</f>
        <v>DONG YUN 138</v>
      </c>
      <c r="F133" t="str">
        <f>""</f>
        <v/>
      </c>
      <c r="G133" t="str">
        <f t="shared" si="133"/>
        <v>OOCL</v>
      </c>
      <c r="H133" t="str">
        <f>""</f>
        <v/>
      </c>
      <c r="I133" t="str">
        <f>"167"</f>
        <v>167</v>
      </c>
      <c r="J133" t="str">
        <f t="shared" si="130"/>
        <v>S</v>
      </c>
      <c r="K133" t="str">
        <f t="shared" si="139"/>
        <v>2</v>
      </c>
      <c r="L133" t="str">
        <f t="shared" si="140"/>
        <v>HKG02</v>
      </c>
      <c r="M133" t="str">
        <f t="shared" si="141"/>
        <v>HIT - Hongkong International Terminals</v>
      </c>
      <c r="N133" t="str">
        <f t="shared" si="134"/>
        <v>HKG</v>
      </c>
      <c r="O133" t="str">
        <f t="shared" si="142"/>
        <v>1</v>
      </c>
      <c r="P133" t="str">
        <f>""</f>
        <v/>
      </c>
      <c r="Q133" t="str">
        <f>"167S"</f>
        <v>167S</v>
      </c>
      <c r="R133" t="str">
        <f>"167S"</f>
        <v>167S</v>
      </c>
      <c r="S133" t="str">
        <f>""</f>
        <v/>
      </c>
      <c r="T133" t="str">
        <f>"01 Aug 2019 15:00"</f>
        <v>01 Aug 2019 15:00</v>
      </c>
      <c r="U133" t="str">
        <f>"01 Aug 2019 17:00"</f>
        <v>01 Aug 2019 17:00</v>
      </c>
      <c r="V133" t="str">
        <f>"2h"</f>
        <v>2h</v>
      </c>
      <c r="W133" t="str">
        <f>"01 Aug 2019 15:00"</f>
        <v>01 Aug 2019 15:00</v>
      </c>
      <c r="X133" t="str">
        <f>""</f>
        <v/>
      </c>
      <c r="Y133" t="str">
        <f>"01 Aug 2019 17:00"</f>
        <v>01 Aug 2019 17:00</v>
      </c>
      <c r="Z133" t="str">
        <f>""</f>
        <v/>
      </c>
      <c r="AA133" t="str">
        <f>""</f>
        <v/>
      </c>
      <c r="AB133" t="str">
        <f t="shared" si="135"/>
        <v>NN</v>
      </c>
      <c r="AC133" t="str">
        <f t="shared" si="91"/>
        <v>LL</v>
      </c>
      <c r="AD133" t="str">
        <f t="shared" si="92"/>
        <v>0</v>
      </c>
      <c r="AE133" t="str">
        <f t="shared" si="92"/>
        <v>0</v>
      </c>
      <c r="AF133" t="str">
        <f>"01 Aug 2019 15:00"</f>
        <v>01 Aug 2019 15:00</v>
      </c>
      <c r="AG133" t="str">
        <f>"01 Aug 2019 15:00"</f>
        <v>01 Aug 2019 15:00</v>
      </c>
      <c r="AH133" t="str">
        <f>"01 Aug 2019 15:00"</f>
        <v>01 Aug 2019 15:00</v>
      </c>
      <c r="AI133" t="str">
        <f>"01 Aug 2019 15:00"</f>
        <v>01 Aug 2019 15:00</v>
      </c>
      <c r="AJ133" t="str">
        <f>"01 Aug 2019 15:00"</f>
        <v>01 Aug 2019 15:00</v>
      </c>
      <c r="AK133" t="str">
        <f t="shared" si="143"/>
        <v>01 Aug 2019 17:00</v>
      </c>
      <c r="AL133" t="str">
        <f t="shared" si="143"/>
        <v>01 Aug 2019 17:00</v>
      </c>
      <c r="AM133" t="str">
        <f t="shared" si="143"/>
        <v>01 Aug 2019 17:00</v>
      </c>
      <c r="AN133" t="str">
        <f t="shared" si="143"/>
        <v>01 Aug 2019 17:00</v>
      </c>
      <c r="AO133" t="str">
        <f t="shared" si="143"/>
        <v>01 Aug 2019 17:00</v>
      </c>
      <c r="AP133" t="str">
        <f>""</f>
        <v/>
      </c>
      <c r="AQ133" t="str">
        <f>"01 Aug 2019 15:00"</f>
        <v>01 Aug 2019 15:00</v>
      </c>
      <c r="AR133" t="str">
        <f t="shared" si="124"/>
        <v>Y</v>
      </c>
      <c r="AS133" t="str">
        <f t="shared" si="124"/>
        <v>Y</v>
      </c>
      <c r="AT133" t="str">
        <f t="shared" si="124"/>
        <v>Y</v>
      </c>
      <c r="AU133" t="str">
        <f t="shared" si="127"/>
        <v>N</v>
      </c>
      <c r="AV133" t="str">
        <f t="shared" si="127"/>
        <v>N</v>
      </c>
      <c r="AW133" t="str">
        <f>""</f>
        <v/>
      </c>
      <c r="AX133" t="str">
        <f t="shared" si="136"/>
        <v>No</v>
      </c>
      <c r="AY133" t="str">
        <f>""</f>
        <v/>
      </c>
      <c r="AZ133" t="s">
        <v>12</v>
      </c>
      <c r="BA133" t="s">
        <v>110</v>
      </c>
      <c r="BB133" t="s">
        <v>130</v>
      </c>
    </row>
    <row r="134" spans="1:54">
      <c r="A134" s="7" t="str">
        <f t="shared" si="137"/>
        <v>PHKG5GE223S</v>
      </c>
      <c r="B134" s="8" t="e">
        <f t="shared" si="138"/>
        <v>#VALUE!</v>
      </c>
      <c r="C134" t="str">
        <f t="shared" si="84"/>
        <v>PHKG</v>
      </c>
      <c r="D134" t="str">
        <f>"5GE"</f>
        <v>5GE</v>
      </c>
      <c r="E134" t="str">
        <f>"RONG HANG 328"</f>
        <v>RONG HANG 328</v>
      </c>
      <c r="F134" t="str">
        <f>""</f>
        <v/>
      </c>
      <c r="G134" t="str">
        <f t="shared" si="133"/>
        <v>OOCL</v>
      </c>
      <c r="H134" t="str">
        <f>""</f>
        <v/>
      </c>
      <c r="I134" t="str">
        <f>"223"</f>
        <v>223</v>
      </c>
      <c r="J134" t="str">
        <f t="shared" si="130"/>
        <v>S</v>
      </c>
      <c r="K134" t="str">
        <f t="shared" si="139"/>
        <v>2</v>
      </c>
      <c r="L134" t="str">
        <f t="shared" si="140"/>
        <v>HKG02</v>
      </c>
      <c r="M134" t="str">
        <f t="shared" si="141"/>
        <v>HIT - Hongkong International Terminals</v>
      </c>
      <c r="N134" t="str">
        <f t="shared" si="134"/>
        <v>HKG</v>
      </c>
      <c r="O134" t="str">
        <f t="shared" si="142"/>
        <v>1</v>
      </c>
      <c r="P134" t="str">
        <f>""</f>
        <v/>
      </c>
      <c r="Q134" t="str">
        <f>"223S"</f>
        <v>223S</v>
      </c>
      <c r="R134" t="str">
        <f>"223S"</f>
        <v>223S</v>
      </c>
      <c r="S134" t="str">
        <f>""</f>
        <v/>
      </c>
      <c r="T134" t="str">
        <f>"01 Aug 2019 17:00"</f>
        <v>01 Aug 2019 17:00</v>
      </c>
      <c r="U134" t="str">
        <f>"01 Aug 2019 18:00"</f>
        <v>01 Aug 2019 18:00</v>
      </c>
      <c r="V134" t="str">
        <f>"1h"</f>
        <v>1h</v>
      </c>
      <c r="W134" t="str">
        <f>"01 Aug 2019 17:00"</f>
        <v>01 Aug 2019 17:00</v>
      </c>
      <c r="X134" t="str">
        <f>""</f>
        <v/>
      </c>
      <c r="Y134" t="str">
        <f>"01 Aug 2019 18:00"</f>
        <v>01 Aug 2019 18:00</v>
      </c>
      <c r="Z134" t="str">
        <f>""</f>
        <v/>
      </c>
      <c r="AA134" t="str">
        <f>""</f>
        <v/>
      </c>
      <c r="AB134" t="str">
        <f t="shared" si="135"/>
        <v>NN</v>
      </c>
      <c r="AC134" t="str">
        <f t="shared" si="91"/>
        <v>LL</v>
      </c>
      <c r="AD134" t="str">
        <f t="shared" si="92"/>
        <v>0</v>
      </c>
      <c r="AE134" t="str">
        <f t="shared" si="92"/>
        <v>0</v>
      </c>
      <c r="AF134" t="str">
        <f>"01 Aug 2019 17:00"</f>
        <v>01 Aug 2019 17:00</v>
      </c>
      <c r="AG134" t="str">
        <f>"01 Aug 2019 17:00"</f>
        <v>01 Aug 2019 17:00</v>
      </c>
      <c r="AH134" t="str">
        <f>"01 Aug 2019 17:00"</f>
        <v>01 Aug 2019 17:00</v>
      </c>
      <c r="AI134" t="str">
        <f>"01 Aug 2019 17:00"</f>
        <v>01 Aug 2019 17:00</v>
      </c>
      <c r="AJ134" t="str">
        <f>"01 Aug 2019 17:00"</f>
        <v>01 Aug 2019 17:00</v>
      </c>
      <c r="AK134" t="str">
        <f t="shared" si="143"/>
        <v>01 Aug 2019 17:00</v>
      </c>
      <c r="AL134" t="str">
        <f t="shared" si="143"/>
        <v>01 Aug 2019 17:00</v>
      </c>
      <c r="AM134" t="str">
        <f t="shared" si="143"/>
        <v>01 Aug 2019 17:00</v>
      </c>
      <c r="AN134" t="str">
        <f t="shared" si="143"/>
        <v>01 Aug 2019 17:00</v>
      </c>
      <c r="AO134" t="str">
        <f t="shared" si="143"/>
        <v>01 Aug 2019 17:00</v>
      </c>
      <c r="AP134" t="str">
        <f>""</f>
        <v/>
      </c>
      <c r="AQ134" t="str">
        <f>"01 Aug 2019 17:00"</f>
        <v>01 Aug 2019 17:00</v>
      </c>
      <c r="AR134" t="str">
        <f t="shared" si="124"/>
        <v>Y</v>
      </c>
      <c r="AS134" t="str">
        <f t="shared" si="124"/>
        <v>Y</v>
      </c>
      <c r="AT134" t="str">
        <f t="shared" si="124"/>
        <v>Y</v>
      </c>
      <c r="AU134" t="str">
        <f t="shared" si="127"/>
        <v>N</v>
      </c>
      <c r="AV134" t="str">
        <f t="shared" si="127"/>
        <v>N</v>
      </c>
      <c r="AW134" t="str">
        <f>""</f>
        <v/>
      </c>
      <c r="AX134" t="str">
        <f t="shared" si="136"/>
        <v>No</v>
      </c>
      <c r="AY134" t="str">
        <f>""</f>
        <v/>
      </c>
      <c r="AZ134" t="s">
        <v>12</v>
      </c>
      <c r="BA134" t="s">
        <v>110</v>
      </c>
      <c r="BB134" t="s">
        <v>110</v>
      </c>
    </row>
    <row r="135" spans="1:54">
      <c r="A135" s="7" t="str">
        <f t="shared" si="137"/>
        <v>PHKG6QT083S</v>
      </c>
      <c r="B135" s="8" t="e">
        <f t="shared" si="138"/>
        <v>#VALUE!</v>
      </c>
      <c r="C135" t="str">
        <f t="shared" si="84"/>
        <v>PHKG</v>
      </c>
      <c r="D135" t="str">
        <f>"6QT"</f>
        <v>6QT</v>
      </c>
      <c r="E135" t="str">
        <f>"YUE WAN TONG 368"</f>
        <v>YUE WAN TONG 368</v>
      </c>
      <c r="F135" t="str">
        <f>""</f>
        <v/>
      </c>
      <c r="G135" t="str">
        <f t="shared" si="133"/>
        <v>OOCL</v>
      </c>
      <c r="H135" t="str">
        <f>""</f>
        <v/>
      </c>
      <c r="I135" t="str">
        <f>"083"</f>
        <v>083</v>
      </c>
      <c r="J135" t="str">
        <f t="shared" si="130"/>
        <v>S</v>
      </c>
      <c r="K135" t="str">
        <f t="shared" si="139"/>
        <v>2</v>
      </c>
      <c r="L135" t="str">
        <f t="shared" si="140"/>
        <v>HKG02</v>
      </c>
      <c r="M135" t="str">
        <f t="shared" si="141"/>
        <v>HIT - Hongkong International Terminals</v>
      </c>
      <c r="N135" t="str">
        <f t="shared" si="134"/>
        <v>HKG</v>
      </c>
      <c r="O135" t="str">
        <f t="shared" si="142"/>
        <v>1</v>
      </c>
      <c r="P135" t="str">
        <f>""</f>
        <v/>
      </c>
      <c r="Q135" t="str">
        <f>"083S"</f>
        <v>083S</v>
      </c>
      <c r="R135" t="str">
        <f>"083S"</f>
        <v>083S</v>
      </c>
      <c r="S135" t="str">
        <f>""</f>
        <v/>
      </c>
      <c r="T135" t="str">
        <f>"01 Aug 2019 18:00"</f>
        <v>01 Aug 2019 18:00</v>
      </c>
      <c r="U135" t="str">
        <f>"01 Aug 2019 19:00"</f>
        <v>01 Aug 2019 19:00</v>
      </c>
      <c r="V135" t="str">
        <f>"1h"</f>
        <v>1h</v>
      </c>
      <c r="W135" t="str">
        <f>"01 Aug 2019 18:00"</f>
        <v>01 Aug 2019 18:00</v>
      </c>
      <c r="X135" t="str">
        <f>""</f>
        <v/>
      </c>
      <c r="Y135" t="str">
        <f>"01 Aug 2019 19:00"</f>
        <v>01 Aug 2019 19:00</v>
      </c>
      <c r="Z135" t="str">
        <f>""</f>
        <v/>
      </c>
      <c r="AA135" t="str">
        <f>""</f>
        <v/>
      </c>
      <c r="AB135" t="str">
        <f t="shared" si="135"/>
        <v>NN</v>
      </c>
      <c r="AC135" t="str">
        <f t="shared" si="91"/>
        <v>LL</v>
      </c>
      <c r="AD135" t="str">
        <f t="shared" si="92"/>
        <v>0</v>
      </c>
      <c r="AE135" t="str">
        <f t="shared" si="92"/>
        <v>0</v>
      </c>
      <c r="AF135" t="str">
        <f>"07 Aug 2019 22:00"</f>
        <v>07 Aug 2019 22:00</v>
      </c>
      <c r="AG135" t="str">
        <f>"07 Aug 2019 22:00"</f>
        <v>07 Aug 2019 22:00</v>
      </c>
      <c r="AH135" t="str">
        <f>"07 Aug 2019 22:00"</f>
        <v>07 Aug 2019 22:00</v>
      </c>
      <c r="AI135" t="str">
        <f>"07 Aug 2019 22:00"</f>
        <v>07 Aug 2019 22:00</v>
      </c>
      <c r="AJ135" t="str">
        <f>"07 Aug 2019 22:00"</f>
        <v>07 Aug 2019 22:00</v>
      </c>
      <c r="AK135" t="str">
        <f t="shared" ref="AK135:AO137" si="144">"01 Aug 2019 19:00"</f>
        <v>01 Aug 2019 19:00</v>
      </c>
      <c r="AL135" t="str">
        <f t="shared" si="144"/>
        <v>01 Aug 2019 19:00</v>
      </c>
      <c r="AM135" t="str">
        <f t="shared" si="144"/>
        <v>01 Aug 2019 19:00</v>
      </c>
      <c r="AN135" t="str">
        <f t="shared" si="144"/>
        <v>01 Aug 2019 19:00</v>
      </c>
      <c r="AO135" t="str">
        <f t="shared" si="144"/>
        <v>01 Aug 2019 19:00</v>
      </c>
      <c r="AP135" t="str">
        <f>""</f>
        <v/>
      </c>
      <c r="AQ135" t="str">
        <f>"07 Aug 2019 22:00"</f>
        <v>07 Aug 2019 22:00</v>
      </c>
      <c r="AR135" t="str">
        <f t="shared" si="124"/>
        <v>Y</v>
      </c>
      <c r="AS135" t="str">
        <f t="shared" si="124"/>
        <v>Y</v>
      </c>
      <c r="AT135" t="str">
        <f t="shared" si="124"/>
        <v>Y</v>
      </c>
      <c r="AU135" t="str">
        <f t="shared" si="127"/>
        <v>N</v>
      </c>
      <c r="AV135" t="str">
        <f t="shared" si="127"/>
        <v>N</v>
      </c>
      <c r="AW135" t="str">
        <f>""</f>
        <v/>
      </c>
      <c r="AX135" t="str">
        <f t="shared" si="136"/>
        <v>No</v>
      </c>
      <c r="AY135" t="str">
        <f>""</f>
        <v/>
      </c>
      <c r="AZ135" t="s">
        <v>12</v>
      </c>
      <c r="BA135" t="s">
        <v>110</v>
      </c>
      <c r="BB135" t="s">
        <v>110</v>
      </c>
    </row>
    <row r="136" spans="1:54">
      <c r="A136" s="7" t="str">
        <f t="shared" si="137"/>
        <v>PHKG5WW040N</v>
      </c>
      <c r="B136" s="8">
        <f t="shared" si="138"/>
        <v>43678.791666666664</v>
      </c>
      <c r="C136" t="str">
        <f t="shared" si="84"/>
        <v>PHKG</v>
      </c>
      <c r="D136" t="str">
        <f>"5WW"</f>
        <v>5WW</v>
      </c>
      <c r="E136" t="str">
        <f>"SHUN FENG 26"</f>
        <v>SHUN FENG 26</v>
      </c>
      <c r="F136" t="str">
        <f>""</f>
        <v/>
      </c>
      <c r="G136" t="str">
        <f t="shared" si="133"/>
        <v>OOCL</v>
      </c>
      <c r="H136" t="str">
        <f>""</f>
        <v/>
      </c>
      <c r="I136" t="str">
        <f>"039"</f>
        <v>039</v>
      </c>
      <c r="J136" t="str">
        <f t="shared" si="130"/>
        <v>S</v>
      </c>
      <c r="K136" t="str">
        <f t="shared" si="139"/>
        <v>2</v>
      </c>
      <c r="L136" t="str">
        <f t="shared" si="140"/>
        <v>HKG02</v>
      </c>
      <c r="M136" t="str">
        <f t="shared" si="141"/>
        <v>HIT - Hongkong International Terminals</v>
      </c>
      <c r="N136" t="str">
        <f t="shared" si="134"/>
        <v>HKG</v>
      </c>
      <c r="O136" t="str">
        <f t="shared" si="142"/>
        <v>1</v>
      </c>
      <c r="P136" t="str">
        <f>""</f>
        <v/>
      </c>
      <c r="Q136" t="str">
        <f>"039S"</f>
        <v>039S</v>
      </c>
      <c r="R136" t="str">
        <f>"040N"</f>
        <v>040N</v>
      </c>
      <c r="S136" t="str">
        <f>""</f>
        <v/>
      </c>
      <c r="T136" t="str">
        <f>"31 Jul 2019 09:00"</f>
        <v>31 Jul 2019 09:00</v>
      </c>
      <c r="U136" t="str">
        <f>"01 Aug 2019 20:00"</f>
        <v>01 Aug 2019 20:00</v>
      </c>
      <c r="V136" t="str">
        <f>"35h"</f>
        <v>35h</v>
      </c>
      <c r="W136" t="str">
        <f>"31 Jul 2019 09:00"</f>
        <v>31 Jul 2019 09:00</v>
      </c>
      <c r="X136" t="str">
        <f>""</f>
        <v/>
      </c>
      <c r="Y136" t="str">
        <f>"01 Aug 2019 20:00"</f>
        <v>01 Aug 2019 20:00</v>
      </c>
      <c r="Z136" t="str">
        <f>""</f>
        <v/>
      </c>
      <c r="AA136" t="str">
        <f>""</f>
        <v/>
      </c>
      <c r="AB136" t="str">
        <f t="shared" si="135"/>
        <v>NN</v>
      </c>
      <c r="AC136" t="str">
        <f>"CL"</f>
        <v>CL</v>
      </c>
      <c r="AD136" t="str">
        <f t="shared" si="92"/>
        <v>0</v>
      </c>
      <c r="AE136" t="str">
        <f t="shared" si="92"/>
        <v>0</v>
      </c>
      <c r="AF136" t="str">
        <f t="shared" ref="AF136:AJ137" si="145">"01 Aug 2019 09:00"</f>
        <v>01 Aug 2019 09:00</v>
      </c>
      <c r="AG136" t="str">
        <f t="shared" si="145"/>
        <v>01 Aug 2019 09:00</v>
      </c>
      <c r="AH136" t="str">
        <f t="shared" si="145"/>
        <v>01 Aug 2019 09:00</v>
      </c>
      <c r="AI136" t="str">
        <f t="shared" si="145"/>
        <v>01 Aug 2019 09:00</v>
      </c>
      <c r="AJ136" t="str">
        <f t="shared" si="145"/>
        <v>01 Aug 2019 09:00</v>
      </c>
      <c r="AK136" t="str">
        <f t="shared" si="144"/>
        <v>01 Aug 2019 19:00</v>
      </c>
      <c r="AL136" t="str">
        <f t="shared" si="144"/>
        <v>01 Aug 2019 19:00</v>
      </c>
      <c r="AM136" t="str">
        <f t="shared" si="144"/>
        <v>01 Aug 2019 19:00</v>
      </c>
      <c r="AN136" t="str">
        <f t="shared" si="144"/>
        <v>01 Aug 2019 19:00</v>
      </c>
      <c r="AO136" t="str">
        <f t="shared" si="144"/>
        <v>01 Aug 2019 19:00</v>
      </c>
      <c r="AP136" t="str">
        <f>"01 Aug 2019 19:00"</f>
        <v>01 Aug 2019 19:00</v>
      </c>
      <c r="AQ136" t="str">
        <f>"01 Aug 2019 20:00"</f>
        <v>01 Aug 2019 20:00</v>
      </c>
      <c r="AR136" t="str">
        <f t="shared" si="124"/>
        <v>Y</v>
      </c>
      <c r="AS136" t="str">
        <f t="shared" si="124"/>
        <v>Y</v>
      </c>
      <c r="AT136" t="str">
        <f t="shared" si="124"/>
        <v>Y</v>
      </c>
      <c r="AU136" t="str">
        <f t="shared" si="127"/>
        <v>N</v>
      </c>
      <c r="AV136" t="str">
        <f t="shared" si="127"/>
        <v>N</v>
      </c>
      <c r="AW136" t="str">
        <f>""</f>
        <v/>
      </c>
      <c r="AX136" t="str">
        <f t="shared" si="136"/>
        <v>No</v>
      </c>
      <c r="AY136" t="str">
        <f>""</f>
        <v/>
      </c>
      <c r="AZ136" t="s">
        <v>12</v>
      </c>
      <c r="BA136" t="s">
        <v>110</v>
      </c>
      <c r="BB136" t="s">
        <v>110</v>
      </c>
    </row>
    <row r="137" spans="1:54">
      <c r="A137" s="7" t="str">
        <f t="shared" si="137"/>
        <v>PHKG5WW040N</v>
      </c>
      <c r="B137" s="8">
        <f t="shared" si="138"/>
        <v>43678.791666666664</v>
      </c>
      <c r="C137" t="str">
        <f t="shared" si="84"/>
        <v>PHKG</v>
      </c>
      <c r="D137" t="str">
        <f>"5WW"</f>
        <v>5WW</v>
      </c>
      <c r="E137" t="str">
        <f>"SHUN FENG 26"</f>
        <v>SHUN FENG 26</v>
      </c>
      <c r="F137" t="str">
        <f>""</f>
        <v/>
      </c>
      <c r="G137" t="str">
        <f t="shared" si="133"/>
        <v>OOCL</v>
      </c>
      <c r="H137" t="str">
        <f>""</f>
        <v/>
      </c>
      <c r="I137" t="str">
        <f>"040"</f>
        <v>040</v>
      </c>
      <c r="J137" t="str">
        <f>"N"</f>
        <v>N</v>
      </c>
      <c r="K137" t="str">
        <f>"1"</f>
        <v>1</v>
      </c>
      <c r="L137" t="str">
        <f t="shared" si="140"/>
        <v>HKG02</v>
      </c>
      <c r="M137" t="str">
        <f t="shared" si="141"/>
        <v>HIT - Hongkong International Terminals</v>
      </c>
      <c r="N137" t="str">
        <f t="shared" si="134"/>
        <v>HKG</v>
      </c>
      <c r="O137" t="str">
        <f t="shared" si="142"/>
        <v>1</v>
      </c>
      <c r="P137" t="str">
        <f>""</f>
        <v/>
      </c>
      <c r="Q137" t="str">
        <f>"039S"</f>
        <v>039S</v>
      </c>
      <c r="R137" t="str">
        <f>"040N"</f>
        <v>040N</v>
      </c>
      <c r="S137" t="str">
        <f>""</f>
        <v/>
      </c>
      <c r="T137" t="str">
        <f>"31 Jul 2019 09:00"</f>
        <v>31 Jul 2019 09:00</v>
      </c>
      <c r="U137" t="str">
        <f>"01 Aug 2019 20:00"</f>
        <v>01 Aug 2019 20:00</v>
      </c>
      <c r="V137" t="str">
        <f>"35h"</f>
        <v>35h</v>
      </c>
      <c r="W137" t="str">
        <f>"31 Jul 2019 09:00"</f>
        <v>31 Jul 2019 09:00</v>
      </c>
      <c r="X137" t="str">
        <f>""</f>
        <v/>
      </c>
      <c r="Y137" t="str">
        <f>"01 Aug 2019 20:00"</f>
        <v>01 Aug 2019 20:00</v>
      </c>
      <c r="Z137" t="str">
        <f>""</f>
        <v/>
      </c>
      <c r="AA137" t="str">
        <f>""</f>
        <v/>
      </c>
      <c r="AB137" t="str">
        <f t="shared" si="135"/>
        <v>NN</v>
      </c>
      <c r="AC137" t="str">
        <f>"CL"</f>
        <v>CL</v>
      </c>
      <c r="AD137" t="str">
        <f t="shared" si="92"/>
        <v>0</v>
      </c>
      <c r="AE137" t="str">
        <f t="shared" si="92"/>
        <v>0</v>
      </c>
      <c r="AF137" t="str">
        <f t="shared" si="145"/>
        <v>01 Aug 2019 09:00</v>
      </c>
      <c r="AG137" t="str">
        <f t="shared" si="145"/>
        <v>01 Aug 2019 09:00</v>
      </c>
      <c r="AH137" t="str">
        <f t="shared" si="145"/>
        <v>01 Aug 2019 09:00</v>
      </c>
      <c r="AI137" t="str">
        <f t="shared" si="145"/>
        <v>01 Aug 2019 09:00</v>
      </c>
      <c r="AJ137" t="str">
        <f t="shared" si="145"/>
        <v>01 Aug 2019 09:00</v>
      </c>
      <c r="AK137" t="str">
        <f t="shared" si="144"/>
        <v>01 Aug 2019 19:00</v>
      </c>
      <c r="AL137" t="str">
        <f t="shared" si="144"/>
        <v>01 Aug 2019 19:00</v>
      </c>
      <c r="AM137" t="str">
        <f t="shared" si="144"/>
        <v>01 Aug 2019 19:00</v>
      </c>
      <c r="AN137" t="str">
        <f t="shared" si="144"/>
        <v>01 Aug 2019 19:00</v>
      </c>
      <c r="AO137" t="str">
        <f t="shared" si="144"/>
        <v>01 Aug 2019 19:00</v>
      </c>
      <c r="AP137" t="str">
        <f>"01 Aug 2019 19:00"</f>
        <v>01 Aug 2019 19:00</v>
      </c>
      <c r="AQ137" t="str">
        <f>"01 Aug 2019 20:00"</f>
        <v>01 Aug 2019 20:00</v>
      </c>
      <c r="AR137" t="str">
        <f t="shared" si="124"/>
        <v>Y</v>
      </c>
      <c r="AS137" t="str">
        <f t="shared" si="124"/>
        <v>Y</v>
      </c>
      <c r="AT137" t="str">
        <f t="shared" si="124"/>
        <v>Y</v>
      </c>
      <c r="AU137" t="str">
        <f t="shared" si="127"/>
        <v>N</v>
      </c>
      <c r="AV137" t="str">
        <f t="shared" si="127"/>
        <v>N</v>
      </c>
      <c r="AW137" t="str">
        <f>""</f>
        <v/>
      </c>
      <c r="AX137" t="str">
        <f t="shared" si="136"/>
        <v>No</v>
      </c>
      <c r="AY137" t="str">
        <f>""</f>
        <v/>
      </c>
      <c r="AZ137" t="s">
        <v>12</v>
      </c>
      <c r="BA137" t="s">
        <v>110</v>
      </c>
      <c r="BB137" t="s">
        <v>110</v>
      </c>
    </row>
    <row r="138" spans="1:54">
      <c r="A138" s="7" t="str">
        <f t="shared" si="137"/>
        <v>PHKG8WV014N</v>
      </c>
      <c r="B138" s="8" t="e">
        <f t="shared" si="138"/>
        <v>#VALUE!</v>
      </c>
      <c r="C138" t="str">
        <f t="shared" si="84"/>
        <v>PHKG</v>
      </c>
      <c r="D138" t="str">
        <f>"8WV"</f>
        <v>8WV</v>
      </c>
      <c r="E138" t="str">
        <f>"NAN GANG 21"</f>
        <v>NAN GANG 21</v>
      </c>
      <c r="F138" t="str">
        <f>""</f>
        <v/>
      </c>
      <c r="G138" t="str">
        <f t="shared" si="133"/>
        <v>OOCL</v>
      </c>
      <c r="H138" t="str">
        <f>""</f>
        <v/>
      </c>
      <c r="I138" t="str">
        <f>"013"</f>
        <v>013</v>
      </c>
      <c r="J138" t="str">
        <f>"S"</f>
        <v>S</v>
      </c>
      <c r="K138" t="str">
        <f>"2"</f>
        <v>2</v>
      </c>
      <c r="L138" t="str">
        <f t="shared" si="140"/>
        <v>HKG02</v>
      </c>
      <c r="M138" t="str">
        <f t="shared" si="141"/>
        <v>HIT - Hongkong International Terminals</v>
      </c>
      <c r="N138" t="str">
        <f t="shared" si="134"/>
        <v>HKG</v>
      </c>
      <c r="O138" t="str">
        <f t="shared" si="142"/>
        <v>1</v>
      </c>
      <c r="P138" t="str">
        <f>""</f>
        <v/>
      </c>
      <c r="Q138" t="str">
        <f>"013S"</f>
        <v>013S</v>
      </c>
      <c r="R138" t="str">
        <f>"014N"</f>
        <v>014N</v>
      </c>
      <c r="S138" t="str">
        <f>""</f>
        <v/>
      </c>
      <c r="T138" t="str">
        <f>"01 Aug 2019 03:00"</f>
        <v>01 Aug 2019 03:00</v>
      </c>
      <c r="U138" t="str">
        <f>"01 Aug 2019 20:00"</f>
        <v>01 Aug 2019 20:00</v>
      </c>
      <c r="V138" t="str">
        <f>"17h"</f>
        <v>17h</v>
      </c>
      <c r="W138" t="str">
        <f>"01 Aug 2019 03:00"</f>
        <v>01 Aug 2019 03:00</v>
      </c>
      <c r="X138" t="str">
        <f>""</f>
        <v/>
      </c>
      <c r="Y138" t="str">
        <f>"01 Aug 2019 20:00"</f>
        <v>01 Aug 2019 20:00</v>
      </c>
      <c r="Z138" t="str">
        <f>""</f>
        <v/>
      </c>
      <c r="AA138" t="str">
        <f>""</f>
        <v/>
      </c>
      <c r="AB138" t="str">
        <f t="shared" si="135"/>
        <v>NN</v>
      </c>
      <c r="AC138" t="str">
        <f>"LL"</f>
        <v>LL</v>
      </c>
      <c r="AD138" t="str">
        <f t="shared" si="92"/>
        <v>0</v>
      </c>
      <c r="AE138" t="str">
        <f t="shared" si="92"/>
        <v>0</v>
      </c>
      <c r="AF138" t="str">
        <f t="shared" ref="AF138:AJ139" si="146">"01 Aug 2019 20:00"</f>
        <v>01 Aug 2019 20:00</v>
      </c>
      <c r="AG138" t="str">
        <f t="shared" si="146"/>
        <v>01 Aug 2019 20:00</v>
      </c>
      <c r="AH138" t="str">
        <f t="shared" si="146"/>
        <v>01 Aug 2019 20:00</v>
      </c>
      <c r="AI138" t="str">
        <f t="shared" si="146"/>
        <v>01 Aug 2019 20:00</v>
      </c>
      <c r="AJ138" t="str">
        <f t="shared" si="146"/>
        <v>01 Aug 2019 20:00</v>
      </c>
      <c r="AK138" t="str">
        <f t="shared" ref="AK138:AO139" si="147">"31 Jul 2019 00:00"</f>
        <v>31 Jul 2019 00:00</v>
      </c>
      <c r="AL138" t="str">
        <f t="shared" si="147"/>
        <v>31 Jul 2019 00:00</v>
      </c>
      <c r="AM138" t="str">
        <f t="shared" si="147"/>
        <v>31 Jul 2019 00:00</v>
      </c>
      <c r="AN138" t="str">
        <f t="shared" si="147"/>
        <v>31 Jul 2019 00:00</v>
      </c>
      <c r="AO138" t="str">
        <f t="shared" si="147"/>
        <v>31 Jul 2019 00:00</v>
      </c>
      <c r="AP138" t="str">
        <f>""</f>
        <v/>
      </c>
      <c r="AQ138" t="str">
        <f>"01 Aug 2019 20:00"</f>
        <v>01 Aug 2019 20:00</v>
      </c>
      <c r="AR138" t="str">
        <f t="shared" ref="AR138:AT157" si="148">"Y"</f>
        <v>Y</v>
      </c>
      <c r="AS138" t="str">
        <f t="shared" si="148"/>
        <v>Y</v>
      </c>
      <c r="AT138" t="str">
        <f t="shared" si="148"/>
        <v>Y</v>
      </c>
      <c r="AU138" t="str">
        <f t="shared" si="127"/>
        <v>N</v>
      </c>
      <c r="AV138" t="str">
        <f t="shared" si="127"/>
        <v>N</v>
      </c>
      <c r="AW138" t="str">
        <f>""</f>
        <v/>
      </c>
      <c r="AX138" t="str">
        <f t="shared" si="136"/>
        <v>No</v>
      </c>
      <c r="AY138" t="str">
        <f>""</f>
        <v/>
      </c>
      <c r="AZ138" t="s">
        <v>12</v>
      </c>
      <c r="BA138" t="s">
        <v>110</v>
      </c>
      <c r="BB138" t="s">
        <v>110</v>
      </c>
    </row>
    <row r="139" spans="1:54">
      <c r="A139" s="7" t="str">
        <f t="shared" si="137"/>
        <v>PHKG8WV014N</v>
      </c>
      <c r="B139" s="8" t="e">
        <f t="shared" si="138"/>
        <v>#VALUE!</v>
      </c>
      <c r="C139" t="str">
        <f t="shared" si="84"/>
        <v>PHKG</v>
      </c>
      <c r="D139" t="str">
        <f>"8WV"</f>
        <v>8WV</v>
      </c>
      <c r="E139" t="str">
        <f>"NAN GANG 21"</f>
        <v>NAN GANG 21</v>
      </c>
      <c r="F139" t="str">
        <f>""</f>
        <v/>
      </c>
      <c r="G139" t="str">
        <f t="shared" si="133"/>
        <v>OOCL</v>
      </c>
      <c r="H139" t="str">
        <f>""</f>
        <v/>
      </c>
      <c r="I139" t="str">
        <f>"014"</f>
        <v>014</v>
      </c>
      <c r="J139" t="str">
        <f>"N"</f>
        <v>N</v>
      </c>
      <c r="K139" t="str">
        <f>"1"</f>
        <v>1</v>
      </c>
      <c r="L139" t="str">
        <f t="shared" si="140"/>
        <v>HKG02</v>
      </c>
      <c r="M139" t="str">
        <f t="shared" si="141"/>
        <v>HIT - Hongkong International Terminals</v>
      </c>
      <c r="N139" t="str">
        <f t="shared" si="134"/>
        <v>HKG</v>
      </c>
      <c r="O139" t="str">
        <f t="shared" si="142"/>
        <v>1</v>
      </c>
      <c r="P139" t="str">
        <f>""</f>
        <v/>
      </c>
      <c r="Q139" t="str">
        <f>"013S"</f>
        <v>013S</v>
      </c>
      <c r="R139" t="str">
        <f>"014N"</f>
        <v>014N</v>
      </c>
      <c r="S139" t="str">
        <f>""</f>
        <v/>
      </c>
      <c r="T139" t="str">
        <f>"01 Aug 2019 03:00"</f>
        <v>01 Aug 2019 03:00</v>
      </c>
      <c r="U139" t="str">
        <f>"01 Aug 2019 20:00"</f>
        <v>01 Aug 2019 20:00</v>
      </c>
      <c r="V139" t="str">
        <f>"17h"</f>
        <v>17h</v>
      </c>
      <c r="W139" t="str">
        <f>"01 Aug 2019 03:00"</f>
        <v>01 Aug 2019 03:00</v>
      </c>
      <c r="X139" t="str">
        <f>""</f>
        <v/>
      </c>
      <c r="Y139" t="str">
        <f>"01 Aug 2019 20:00"</f>
        <v>01 Aug 2019 20:00</v>
      </c>
      <c r="Z139" t="str">
        <f>""</f>
        <v/>
      </c>
      <c r="AA139" t="str">
        <f>""</f>
        <v/>
      </c>
      <c r="AB139" t="str">
        <f t="shared" si="135"/>
        <v>NN</v>
      </c>
      <c r="AC139" t="str">
        <f>"LL"</f>
        <v>LL</v>
      </c>
      <c r="AD139" t="str">
        <f t="shared" si="92"/>
        <v>0</v>
      </c>
      <c r="AE139" t="str">
        <f t="shared" si="92"/>
        <v>0</v>
      </c>
      <c r="AF139" t="str">
        <f t="shared" si="146"/>
        <v>01 Aug 2019 20:00</v>
      </c>
      <c r="AG139" t="str">
        <f t="shared" si="146"/>
        <v>01 Aug 2019 20:00</v>
      </c>
      <c r="AH139" t="str">
        <f t="shared" si="146"/>
        <v>01 Aug 2019 20:00</v>
      </c>
      <c r="AI139" t="str">
        <f t="shared" si="146"/>
        <v>01 Aug 2019 20:00</v>
      </c>
      <c r="AJ139" t="str">
        <f t="shared" si="146"/>
        <v>01 Aug 2019 20:00</v>
      </c>
      <c r="AK139" t="str">
        <f t="shared" si="147"/>
        <v>31 Jul 2019 00:00</v>
      </c>
      <c r="AL139" t="str">
        <f t="shared" si="147"/>
        <v>31 Jul 2019 00:00</v>
      </c>
      <c r="AM139" t="str">
        <f t="shared" si="147"/>
        <v>31 Jul 2019 00:00</v>
      </c>
      <c r="AN139" t="str">
        <f t="shared" si="147"/>
        <v>31 Jul 2019 00:00</v>
      </c>
      <c r="AO139" t="str">
        <f t="shared" si="147"/>
        <v>31 Jul 2019 00:00</v>
      </c>
      <c r="AP139" t="str">
        <f>""</f>
        <v/>
      </c>
      <c r="AQ139" t="str">
        <f>"01 Aug 2019 20:00"</f>
        <v>01 Aug 2019 20:00</v>
      </c>
      <c r="AR139" t="str">
        <f t="shared" si="148"/>
        <v>Y</v>
      </c>
      <c r="AS139" t="str">
        <f t="shared" si="148"/>
        <v>Y</v>
      </c>
      <c r="AT139" t="str">
        <f t="shared" si="148"/>
        <v>Y</v>
      </c>
      <c r="AU139" t="str">
        <f t="shared" si="127"/>
        <v>N</v>
      </c>
      <c r="AV139" t="str">
        <f t="shared" si="127"/>
        <v>N</v>
      </c>
      <c r="AW139" t="str">
        <f>""</f>
        <v/>
      </c>
      <c r="AX139" t="str">
        <f t="shared" si="136"/>
        <v>No</v>
      </c>
      <c r="AY139" t="str">
        <f>""</f>
        <v/>
      </c>
      <c r="AZ139" t="s">
        <v>12</v>
      </c>
      <c r="BA139" t="s">
        <v>110</v>
      </c>
      <c r="BB139" t="s">
        <v>110</v>
      </c>
    </row>
    <row r="140" spans="1:54">
      <c r="A140" s="7" t="str">
        <f t="shared" si="137"/>
        <v>PHKGXG3546S</v>
      </c>
      <c r="B140" s="8" t="e">
        <f t="shared" si="138"/>
        <v>#VALUE!</v>
      </c>
      <c r="C140" t="str">
        <f t="shared" si="84"/>
        <v>PHKG</v>
      </c>
      <c r="D140" t="str">
        <f>"XG3"</f>
        <v>XG3</v>
      </c>
      <c r="E140" t="str">
        <f>"YUE JIN LUN 988"</f>
        <v>YUE JIN LUN 988</v>
      </c>
      <c r="F140" t="str">
        <f>""</f>
        <v/>
      </c>
      <c r="G140" t="str">
        <f t="shared" si="133"/>
        <v>OOCL</v>
      </c>
      <c r="H140" t="str">
        <f>""</f>
        <v/>
      </c>
      <c r="I140" t="str">
        <f>"546"</f>
        <v>546</v>
      </c>
      <c r="J140" t="str">
        <f>"S"</f>
        <v>S</v>
      </c>
      <c r="K140" t="str">
        <f>"2"</f>
        <v>2</v>
      </c>
      <c r="L140" t="str">
        <f t="shared" si="140"/>
        <v>HKG02</v>
      </c>
      <c r="M140" t="str">
        <f t="shared" si="141"/>
        <v>HIT - Hongkong International Terminals</v>
      </c>
      <c r="N140" t="str">
        <f t="shared" si="134"/>
        <v>HKG</v>
      </c>
      <c r="O140" t="str">
        <f t="shared" si="142"/>
        <v>1</v>
      </c>
      <c r="P140" t="str">
        <f>""</f>
        <v/>
      </c>
      <c r="Q140" t="str">
        <f>"546S"</f>
        <v>546S</v>
      </c>
      <c r="R140" t="str">
        <f>"546S"</f>
        <v>546S</v>
      </c>
      <c r="S140" t="str">
        <f>""</f>
        <v/>
      </c>
      <c r="T140" t="str">
        <f>"01 Aug 2019 20:00"</f>
        <v>01 Aug 2019 20:00</v>
      </c>
      <c r="U140" t="str">
        <f>"01 Aug 2019 21:00"</f>
        <v>01 Aug 2019 21:00</v>
      </c>
      <c r="V140" t="str">
        <f>"1h"</f>
        <v>1h</v>
      </c>
      <c r="W140" t="str">
        <f>"01 Aug 2019 20:00"</f>
        <v>01 Aug 2019 20:00</v>
      </c>
      <c r="X140" t="str">
        <f>""</f>
        <v/>
      </c>
      <c r="Y140" t="str">
        <f>"01 Aug 2019 21:00"</f>
        <v>01 Aug 2019 21:00</v>
      </c>
      <c r="Z140" t="str">
        <f>""</f>
        <v/>
      </c>
      <c r="AA140" t="str">
        <f>""</f>
        <v/>
      </c>
      <c r="AB140" t="str">
        <f t="shared" si="135"/>
        <v>NN</v>
      </c>
      <c r="AC140" t="str">
        <f>"LL"</f>
        <v>LL</v>
      </c>
      <c r="AD140" t="str">
        <f t="shared" si="92"/>
        <v>0</v>
      </c>
      <c r="AE140" t="str">
        <f t="shared" si="92"/>
        <v>0</v>
      </c>
      <c r="AF140" t="str">
        <f t="shared" ref="AF140:AO140" si="149">"01 Aug 2019 21:00"</f>
        <v>01 Aug 2019 21:00</v>
      </c>
      <c r="AG140" t="str">
        <f t="shared" si="149"/>
        <v>01 Aug 2019 21:00</v>
      </c>
      <c r="AH140" t="str">
        <f t="shared" si="149"/>
        <v>01 Aug 2019 21:00</v>
      </c>
      <c r="AI140" t="str">
        <f t="shared" si="149"/>
        <v>01 Aug 2019 21:00</v>
      </c>
      <c r="AJ140" t="str">
        <f t="shared" si="149"/>
        <v>01 Aug 2019 21:00</v>
      </c>
      <c r="AK140" t="str">
        <f t="shared" si="149"/>
        <v>01 Aug 2019 21:00</v>
      </c>
      <c r="AL140" t="str">
        <f t="shared" si="149"/>
        <v>01 Aug 2019 21:00</v>
      </c>
      <c r="AM140" t="str">
        <f t="shared" si="149"/>
        <v>01 Aug 2019 21:00</v>
      </c>
      <c r="AN140" t="str">
        <f t="shared" si="149"/>
        <v>01 Aug 2019 21:00</v>
      </c>
      <c r="AO140" t="str">
        <f t="shared" si="149"/>
        <v>01 Aug 2019 21:00</v>
      </c>
      <c r="AP140" t="str">
        <f>""</f>
        <v/>
      </c>
      <c r="AQ140" t="str">
        <f>"01 Aug 2019 21:00"</f>
        <v>01 Aug 2019 21:00</v>
      </c>
      <c r="AR140" t="str">
        <f t="shared" si="148"/>
        <v>Y</v>
      </c>
      <c r="AS140" t="str">
        <f t="shared" si="148"/>
        <v>Y</v>
      </c>
      <c r="AT140" t="str">
        <f t="shared" si="148"/>
        <v>Y</v>
      </c>
      <c r="AU140" t="str">
        <f t="shared" si="127"/>
        <v>N</v>
      </c>
      <c r="AV140" t="str">
        <f t="shared" si="127"/>
        <v>N</v>
      </c>
      <c r="AW140" t="str">
        <f>""</f>
        <v/>
      </c>
      <c r="AX140" t="str">
        <f t="shared" si="136"/>
        <v>No</v>
      </c>
      <c r="AY140" t="str">
        <f>""</f>
        <v/>
      </c>
      <c r="AZ140" t="s">
        <v>12</v>
      </c>
      <c r="BA140" t="s">
        <v>110</v>
      </c>
      <c r="BB140" t="s">
        <v>110</v>
      </c>
    </row>
    <row r="141" spans="1:54">
      <c r="A141" s="7" t="str">
        <f t="shared" si="137"/>
        <v>PHKG4GN110S</v>
      </c>
      <c r="B141" s="8" t="e">
        <f t="shared" si="138"/>
        <v>#VALUE!</v>
      </c>
      <c r="C141" t="str">
        <f t="shared" si="84"/>
        <v>PHKG</v>
      </c>
      <c r="D141" t="str">
        <f>"4GN"</f>
        <v>4GN</v>
      </c>
      <c r="E141" t="str">
        <f>"SUI FU HANG 388"</f>
        <v>SUI FU HANG 388</v>
      </c>
      <c r="F141" t="str">
        <f>""</f>
        <v/>
      </c>
      <c r="G141" t="str">
        <f t="shared" si="133"/>
        <v>OOCL</v>
      </c>
      <c r="H141" t="str">
        <f>""</f>
        <v/>
      </c>
      <c r="I141" t="str">
        <f>"110"</f>
        <v>110</v>
      </c>
      <c r="J141" t="str">
        <f>"S"</f>
        <v>S</v>
      </c>
      <c r="K141" t="str">
        <f>"2"</f>
        <v>2</v>
      </c>
      <c r="L141" t="str">
        <f t="shared" si="140"/>
        <v>HKG02</v>
      </c>
      <c r="M141" t="str">
        <f t="shared" si="141"/>
        <v>HIT - Hongkong International Terminals</v>
      </c>
      <c r="N141" t="str">
        <f t="shared" si="134"/>
        <v>HKG</v>
      </c>
      <c r="O141" t="str">
        <f t="shared" si="142"/>
        <v>1</v>
      </c>
      <c r="P141" t="str">
        <f>""</f>
        <v/>
      </c>
      <c r="Q141" t="str">
        <f>"110S"</f>
        <v>110S</v>
      </c>
      <c r="R141" t="str">
        <f>"110S"</f>
        <v>110S</v>
      </c>
      <c r="S141" t="str">
        <f>""</f>
        <v/>
      </c>
      <c r="T141" t="str">
        <f>"01 Aug 2019 20:00"</f>
        <v>01 Aug 2019 20:00</v>
      </c>
      <c r="U141" t="str">
        <f>"01 Aug 2019 22:00"</f>
        <v>01 Aug 2019 22:00</v>
      </c>
      <c r="V141" t="str">
        <f>"2h"</f>
        <v>2h</v>
      </c>
      <c r="W141" t="str">
        <f>"01 Aug 2019 20:00"</f>
        <v>01 Aug 2019 20:00</v>
      </c>
      <c r="X141" t="str">
        <f>""</f>
        <v/>
      </c>
      <c r="Y141" t="str">
        <f>"01 Aug 2019 22:00"</f>
        <v>01 Aug 2019 22:00</v>
      </c>
      <c r="Z141" t="str">
        <f>""</f>
        <v/>
      </c>
      <c r="AA141" t="str">
        <f>""</f>
        <v/>
      </c>
      <c r="AB141" t="str">
        <f t="shared" si="135"/>
        <v>NN</v>
      </c>
      <c r="AC141" t="str">
        <f>"LL"</f>
        <v>LL</v>
      </c>
      <c r="AD141" t="str">
        <f t="shared" si="92"/>
        <v>0</v>
      </c>
      <c r="AE141" t="str">
        <f t="shared" si="92"/>
        <v>0</v>
      </c>
      <c r="AF141" t="str">
        <f>"01 Aug 2019 20:06"</f>
        <v>01 Aug 2019 20:06</v>
      </c>
      <c r="AG141" t="str">
        <f>"01 Aug 2019 20:06"</f>
        <v>01 Aug 2019 20:06</v>
      </c>
      <c r="AH141" t="str">
        <f>"01 Aug 2019 20:06"</f>
        <v>01 Aug 2019 20:06</v>
      </c>
      <c r="AI141" t="str">
        <f>"01 Aug 2019 20:06"</f>
        <v>01 Aug 2019 20:06</v>
      </c>
      <c r="AJ141" t="str">
        <f>"01 Aug 2019 20:06"</f>
        <v>01 Aug 2019 20:06</v>
      </c>
      <c r="AK141" t="str">
        <f>"01 Aug 2019 22:00"</f>
        <v>01 Aug 2019 22:00</v>
      </c>
      <c r="AL141" t="str">
        <f>"01 Aug 2019 22:00"</f>
        <v>01 Aug 2019 22:00</v>
      </c>
      <c r="AM141" t="str">
        <f>"01 Aug 2019 22:00"</f>
        <v>01 Aug 2019 22:00</v>
      </c>
      <c r="AN141" t="str">
        <f>"01 Aug 2019 22:00"</f>
        <v>01 Aug 2019 22:00</v>
      </c>
      <c r="AO141" t="str">
        <f>"01 Aug 2019 22:00"</f>
        <v>01 Aug 2019 22:00</v>
      </c>
      <c r="AP141" t="str">
        <f>""</f>
        <v/>
      </c>
      <c r="AQ141" t="str">
        <f>"01 Aug 2019 20:06"</f>
        <v>01 Aug 2019 20:06</v>
      </c>
      <c r="AR141" t="str">
        <f t="shared" si="148"/>
        <v>Y</v>
      </c>
      <c r="AS141" t="str">
        <f t="shared" si="148"/>
        <v>Y</v>
      </c>
      <c r="AT141" t="str">
        <f t="shared" si="148"/>
        <v>Y</v>
      </c>
      <c r="AU141" t="str">
        <f t="shared" si="127"/>
        <v>N</v>
      </c>
      <c r="AV141" t="str">
        <f t="shared" si="127"/>
        <v>N</v>
      </c>
      <c r="AW141" t="str">
        <f>""</f>
        <v/>
      </c>
      <c r="AX141" t="str">
        <f t="shared" si="136"/>
        <v>No</v>
      </c>
      <c r="AY141" t="str">
        <f>""</f>
        <v/>
      </c>
      <c r="AZ141" t="s">
        <v>12</v>
      </c>
      <c r="BA141" t="s">
        <v>110</v>
      </c>
      <c r="BB141" t="s">
        <v>131</v>
      </c>
    </row>
    <row r="142" spans="1:54">
      <c r="A142" s="7" t="str">
        <f t="shared" si="137"/>
        <v>PHKG7RC083N</v>
      </c>
      <c r="B142" s="8" t="e">
        <f t="shared" si="138"/>
        <v>#VALUE!</v>
      </c>
      <c r="C142" t="str">
        <f t="shared" si="84"/>
        <v>PHKG</v>
      </c>
      <c r="D142" t="str">
        <f>"7RC"</f>
        <v>7RC</v>
      </c>
      <c r="E142" t="str">
        <f>"SUI DE YANG 777"</f>
        <v>SUI DE YANG 777</v>
      </c>
      <c r="F142" t="str">
        <f>""</f>
        <v/>
      </c>
      <c r="G142" t="str">
        <f t="shared" si="133"/>
        <v>OOCL</v>
      </c>
      <c r="H142" t="str">
        <f>""</f>
        <v/>
      </c>
      <c r="I142" t="str">
        <f>"083"</f>
        <v>083</v>
      </c>
      <c r="J142" t="str">
        <f>"N"</f>
        <v>N</v>
      </c>
      <c r="K142" t="str">
        <f>"1"</f>
        <v>1</v>
      </c>
      <c r="L142" t="str">
        <f t="shared" si="140"/>
        <v>HKG02</v>
      </c>
      <c r="M142" t="str">
        <f t="shared" si="141"/>
        <v>HIT - Hongkong International Terminals</v>
      </c>
      <c r="N142" t="str">
        <f t="shared" si="134"/>
        <v>HKG</v>
      </c>
      <c r="O142" t="str">
        <f t="shared" si="142"/>
        <v>1</v>
      </c>
      <c r="P142" t="str">
        <f>""</f>
        <v/>
      </c>
      <c r="Q142" t="str">
        <f>"083N"</f>
        <v>083N</v>
      </c>
      <c r="R142" t="str">
        <f>"083N"</f>
        <v>083N</v>
      </c>
      <c r="S142" t="str">
        <f>""</f>
        <v/>
      </c>
      <c r="T142" t="str">
        <f>"01 Aug 2019 21:00"</f>
        <v>01 Aug 2019 21:00</v>
      </c>
      <c r="U142" t="str">
        <f>"01 Aug 2019 23:00"</f>
        <v>01 Aug 2019 23:00</v>
      </c>
      <c r="V142" t="str">
        <f>"2h"</f>
        <v>2h</v>
      </c>
      <c r="W142" t="str">
        <f>"01 Aug 2019 21:00"</f>
        <v>01 Aug 2019 21:00</v>
      </c>
      <c r="X142" t="str">
        <f>""</f>
        <v/>
      </c>
      <c r="Y142" t="str">
        <f>"01 Aug 2019 23:00"</f>
        <v>01 Aug 2019 23:00</v>
      </c>
      <c r="Z142" t="str">
        <f>""</f>
        <v/>
      </c>
      <c r="AA142" t="str">
        <f>""</f>
        <v/>
      </c>
      <c r="AB142" t="str">
        <f t="shared" si="135"/>
        <v>NN</v>
      </c>
      <c r="AC142" t="str">
        <f>"LL"</f>
        <v>LL</v>
      </c>
      <c r="AD142" t="str">
        <f t="shared" si="92"/>
        <v>0</v>
      </c>
      <c r="AE142" t="str">
        <f t="shared" si="92"/>
        <v>0</v>
      </c>
      <c r="AF142" t="str">
        <f>"01 Aug 2019 21:00"</f>
        <v>01 Aug 2019 21:00</v>
      </c>
      <c r="AG142" t="str">
        <f>"01 Aug 2019 21:00"</f>
        <v>01 Aug 2019 21:00</v>
      </c>
      <c r="AH142" t="str">
        <f>"01 Aug 2019 21:00"</f>
        <v>01 Aug 2019 21:00</v>
      </c>
      <c r="AI142" t="str">
        <f>"01 Aug 2019 21:00"</f>
        <v>01 Aug 2019 21:00</v>
      </c>
      <c r="AJ142" t="str">
        <f>"01 Aug 2019 21:00"</f>
        <v>01 Aug 2019 21:00</v>
      </c>
      <c r="AK142" t="str">
        <f t="shared" ref="AK142:AO144" si="150">"25 Jul 2019 23:00"</f>
        <v>25 Jul 2019 23:00</v>
      </c>
      <c r="AL142" t="str">
        <f t="shared" si="150"/>
        <v>25 Jul 2019 23:00</v>
      </c>
      <c r="AM142" t="str">
        <f t="shared" si="150"/>
        <v>25 Jul 2019 23:00</v>
      </c>
      <c r="AN142" t="str">
        <f t="shared" si="150"/>
        <v>25 Jul 2019 23:00</v>
      </c>
      <c r="AO142" t="str">
        <f t="shared" si="150"/>
        <v>25 Jul 2019 23:00</v>
      </c>
      <c r="AP142" t="str">
        <f>""</f>
        <v/>
      </c>
      <c r="AQ142" t="str">
        <f>"01 Aug 2019 21:00"</f>
        <v>01 Aug 2019 21:00</v>
      </c>
      <c r="AR142" t="str">
        <f t="shared" si="148"/>
        <v>Y</v>
      </c>
      <c r="AS142" t="str">
        <f t="shared" si="148"/>
        <v>Y</v>
      </c>
      <c r="AT142" t="str">
        <f t="shared" si="148"/>
        <v>Y</v>
      </c>
      <c r="AU142" t="str">
        <f t="shared" ref="AU142:AV161" si="151">"N"</f>
        <v>N</v>
      </c>
      <c r="AV142" t="str">
        <f t="shared" si="151"/>
        <v>N</v>
      </c>
      <c r="AW142" t="str">
        <f>""</f>
        <v/>
      </c>
      <c r="AX142" t="str">
        <f t="shared" si="136"/>
        <v>No</v>
      </c>
      <c r="AY142" t="str">
        <f>""</f>
        <v/>
      </c>
      <c r="AZ142" t="s">
        <v>12</v>
      </c>
      <c r="BA142" t="s">
        <v>110</v>
      </c>
      <c r="BB142" t="s">
        <v>110</v>
      </c>
    </row>
    <row r="143" spans="1:54">
      <c r="A143" s="7" t="str">
        <f t="shared" si="137"/>
        <v>PHKG8IL240N</v>
      </c>
      <c r="B143" s="8" t="e">
        <f t="shared" si="138"/>
        <v>#VALUE!</v>
      </c>
      <c r="C143" t="str">
        <f t="shared" si="84"/>
        <v>PHKG</v>
      </c>
      <c r="D143" t="str">
        <f>"8IL"</f>
        <v>8IL</v>
      </c>
      <c r="E143" t="str">
        <f>"SUI DE YANG 238"</f>
        <v>SUI DE YANG 238</v>
      </c>
      <c r="F143" t="str">
        <f>""</f>
        <v/>
      </c>
      <c r="G143" t="str">
        <f t="shared" si="133"/>
        <v>OOCL</v>
      </c>
      <c r="H143" t="str">
        <f>""</f>
        <v/>
      </c>
      <c r="I143" t="str">
        <f>"239"</f>
        <v>239</v>
      </c>
      <c r="J143" t="str">
        <f>"S"</f>
        <v>S</v>
      </c>
      <c r="K143" t="str">
        <f>"3"</f>
        <v>3</v>
      </c>
      <c r="L143" t="str">
        <f t="shared" si="140"/>
        <v>HKG02</v>
      </c>
      <c r="M143" t="str">
        <f t="shared" si="141"/>
        <v>HIT - Hongkong International Terminals</v>
      </c>
      <c r="N143" t="str">
        <f t="shared" si="134"/>
        <v>HKG</v>
      </c>
      <c r="O143" t="str">
        <f t="shared" si="142"/>
        <v>1</v>
      </c>
      <c r="P143" t="str">
        <f>""</f>
        <v/>
      </c>
      <c r="Q143" t="str">
        <f>"239S"</f>
        <v>239S</v>
      </c>
      <c r="R143" t="str">
        <f>"240N"</f>
        <v>240N</v>
      </c>
      <c r="S143" t="str">
        <f>""</f>
        <v/>
      </c>
      <c r="T143" t="str">
        <f>"30 Jul 2019 08:00"</f>
        <v>30 Jul 2019 08:00</v>
      </c>
      <c r="U143" t="str">
        <f>"01 Aug 2019 23:00"</f>
        <v>01 Aug 2019 23:00</v>
      </c>
      <c r="V143" t="str">
        <f>"63h"</f>
        <v>63h</v>
      </c>
      <c r="W143" t="str">
        <f>"30 Jul 2019 20:00"</f>
        <v>30 Jul 2019 20:00</v>
      </c>
      <c r="X143" t="str">
        <f>""</f>
        <v/>
      </c>
      <c r="Y143" t="str">
        <f>"01 Aug 2019 23:00"</f>
        <v>01 Aug 2019 23:00</v>
      </c>
      <c r="Z143" t="str">
        <f>""</f>
        <v/>
      </c>
      <c r="AA143" t="str">
        <f>""</f>
        <v/>
      </c>
      <c r="AB143" t="str">
        <f t="shared" si="135"/>
        <v>NN</v>
      </c>
      <c r="AC143" t="str">
        <f>"CL"</f>
        <v>CL</v>
      </c>
      <c r="AD143" t="str">
        <f>"12"</f>
        <v>12</v>
      </c>
      <c r="AE143" t="str">
        <f t="shared" ref="AE143:AE153" si="152">"0"</f>
        <v>0</v>
      </c>
      <c r="AF143" t="str">
        <f t="shared" ref="AF143:AJ144" si="153">"30 Jul 2019 20:00"</f>
        <v>30 Jul 2019 20:00</v>
      </c>
      <c r="AG143" t="str">
        <f t="shared" si="153"/>
        <v>30 Jul 2019 20:00</v>
      </c>
      <c r="AH143" t="str">
        <f t="shared" si="153"/>
        <v>30 Jul 2019 20:00</v>
      </c>
      <c r="AI143" t="str">
        <f t="shared" si="153"/>
        <v>30 Jul 2019 20:00</v>
      </c>
      <c r="AJ143" t="str">
        <f t="shared" si="153"/>
        <v>30 Jul 2019 20:00</v>
      </c>
      <c r="AK143" t="str">
        <f t="shared" si="150"/>
        <v>25 Jul 2019 23:00</v>
      </c>
      <c r="AL143" t="str">
        <f t="shared" si="150"/>
        <v>25 Jul 2019 23:00</v>
      </c>
      <c r="AM143" t="str">
        <f t="shared" si="150"/>
        <v>25 Jul 2019 23:00</v>
      </c>
      <c r="AN143" t="str">
        <f t="shared" si="150"/>
        <v>25 Jul 2019 23:00</v>
      </c>
      <c r="AO143" t="str">
        <f t="shared" si="150"/>
        <v>25 Jul 2019 23:00</v>
      </c>
      <c r="AP143" t="str">
        <f>""</f>
        <v/>
      </c>
      <c r="AQ143" t="str">
        <f>"30 Jul 2019 20:00"</f>
        <v>30 Jul 2019 20:00</v>
      </c>
      <c r="AR143" t="str">
        <f t="shared" si="148"/>
        <v>Y</v>
      </c>
      <c r="AS143" t="str">
        <f t="shared" si="148"/>
        <v>Y</v>
      </c>
      <c r="AT143" t="str">
        <f t="shared" si="148"/>
        <v>Y</v>
      </c>
      <c r="AU143" t="str">
        <f t="shared" si="151"/>
        <v>N</v>
      </c>
      <c r="AV143" t="str">
        <f t="shared" si="151"/>
        <v>N</v>
      </c>
      <c r="AW143" t="str">
        <f>""</f>
        <v/>
      </c>
      <c r="AX143" t="str">
        <f t="shared" si="136"/>
        <v>No</v>
      </c>
      <c r="AY143" t="str">
        <f>""</f>
        <v/>
      </c>
      <c r="AZ143" t="s">
        <v>12</v>
      </c>
      <c r="BA143" t="s">
        <v>110</v>
      </c>
      <c r="BB143" t="s">
        <v>110</v>
      </c>
    </row>
    <row r="144" spans="1:54">
      <c r="A144" s="7" t="str">
        <f t="shared" si="137"/>
        <v>PHKG8IL240N</v>
      </c>
      <c r="B144" s="8" t="e">
        <f t="shared" si="138"/>
        <v>#VALUE!</v>
      </c>
      <c r="C144" t="str">
        <f t="shared" si="84"/>
        <v>PHKG</v>
      </c>
      <c r="D144" t="str">
        <f>"8IL"</f>
        <v>8IL</v>
      </c>
      <c r="E144" t="str">
        <f>"SUI DE YANG 238"</f>
        <v>SUI DE YANG 238</v>
      </c>
      <c r="F144" t="str">
        <f>""</f>
        <v/>
      </c>
      <c r="G144" t="str">
        <f t="shared" si="133"/>
        <v>OOCL</v>
      </c>
      <c r="H144" t="str">
        <f>""</f>
        <v/>
      </c>
      <c r="I144" t="str">
        <f>"240"</f>
        <v>240</v>
      </c>
      <c r="J144" t="str">
        <f>"N"</f>
        <v>N</v>
      </c>
      <c r="K144" t="str">
        <f>"1"</f>
        <v>1</v>
      </c>
      <c r="L144" t="str">
        <f t="shared" si="140"/>
        <v>HKG02</v>
      </c>
      <c r="M144" t="str">
        <f t="shared" si="141"/>
        <v>HIT - Hongkong International Terminals</v>
      </c>
      <c r="N144" t="str">
        <f t="shared" si="134"/>
        <v>HKG</v>
      </c>
      <c r="O144" t="str">
        <f t="shared" si="142"/>
        <v>1</v>
      </c>
      <c r="P144" t="str">
        <f>""</f>
        <v/>
      </c>
      <c r="Q144" t="str">
        <f>"239S"</f>
        <v>239S</v>
      </c>
      <c r="R144" t="str">
        <f>"240N"</f>
        <v>240N</v>
      </c>
      <c r="S144" t="str">
        <f>""</f>
        <v/>
      </c>
      <c r="T144" t="str">
        <f>"30 Jul 2019 08:00"</f>
        <v>30 Jul 2019 08:00</v>
      </c>
      <c r="U144" t="str">
        <f>"01 Aug 2019 23:00"</f>
        <v>01 Aug 2019 23:00</v>
      </c>
      <c r="V144" t="str">
        <f>"63h"</f>
        <v>63h</v>
      </c>
      <c r="W144" t="str">
        <f>"30 Jul 2019 20:00"</f>
        <v>30 Jul 2019 20:00</v>
      </c>
      <c r="X144" t="str">
        <f>""</f>
        <v/>
      </c>
      <c r="Y144" t="str">
        <f>"01 Aug 2019 23:00"</f>
        <v>01 Aug 2019 23:00</v>
      </c>
      <c r="Z144" t="str">
        <f>""</f>
        <v/>
      </c>
      <c r="AA144" t="str">
        <f>""</f>
        <v/>
      </c>
      <c r="AB144" t="str">
        <f t="shared" si="135"/>
        <v>NN</v>
      </c>
      <c r="AC144" t="str">
        <f>"CL"</f>
        <v>CL</v>
      </c>
      <c r="AD144" t="str">
        <f>"12"</f>
        <v>12</v>
      </c>
      <c r="AE144" t="str">
        <f t="shared" si="152"/>
        <v>0</v>
      </c>
      <c r="AF144" t="str">
        <f t="shared" si="153"/>
        <v>30 Jul 2019 20:00</v>
      </c>
      <c r="AG144" t="str">
        <f t="shared" si="153"/>
        <v>30 Jul 2019 20:00</v>
      </c>
      <c r="AH144" t="str">
        <f t="shared" si="153"/>
        <v>30 Jul 2019 20:00</v>
      </c>
      <c r="AI144" t="str">
        <f t="shared" si="153"/>
        <v>30 Jul 2019 20:00</v>
      </c>
      <c r="AJ144" t="str">
        <f t="shared" si="153"/>
        <v>30 Jul 2019 20:00</v>
      </c>
      <c r="AK144" t="str">
        <f t="shared" si="150"/>
        <v>25 Jul 2019 23:00</v>
      </c>
      <c r="AL144" t="str">
        <f t="shared" si="150"/>
        <v>25 Jul 2019 23:00</v>
      </c>
      <c r="AM144" t="str">
        <f t="shared" si="150"/>
        <v>25 Jul 2019 23:00</v>
      </c>
      <c r="AN144" t="str">
        <f t="shared" si="150"/>
        <v>25 Jul 2019 23:00</v>
      </c>
      <c r="AO144" t="str">
        <f t="shared" si="150"/>
        <v>25 Jul 2019 23:00</v>
      </c>
      <c r="AP144" t="str">
        <f>""</f>
        <v/>
      </c>
      <c r="AQ144" t="str">
        <f>"30 Jul 2019 20:00"</f>
        <v>30 Jul 2019 20:00</v>
      </c>
      <c r="AR144" t="str">
        <f t="shared" si="148"/>
        <v>Y</v>
      </c>
      <c r="AS144" t="str">
        <f t="shared" si="148"/>
        <v>Y</v>
      </c>
      <c r="AT144" t="str">
        <f t="shared" si="148"/>
        <v>Y</v>
      </c>
      <c r="AU144" t="str">
        <f t="shared" si="151"/>
        <v>N</v>
      </c>
      <c r="AV144" t="str">
        <f t="shared" si="151"/>
        <v>N</v>
      </c>
      <c r="AW144" t="str">
        <f>""</f>
        <v/>
      </c>
      <c r="AX144" t="str">
        <f t="shared" si="136"/>
        <v>No</v>
      </c>
      <c r="AY144" t="str">
        <f>""</f>
        <v/>
      </c>
      <c r="AZ144" t="s">
        <v>12</v>
      </c>
      <c r="BA144" t="s">
        <v>110</v>
      </c>
      <c r="BB144" t="s">
        <v>110</v>
      </c>
    </row>
    <row r="145" spans="1:54">
      <c r="A145" s="7" t="str">
        <f t="shared" si="137"/>
        <v>PHKGXS5321N</v>
      </c>
      <c r="B145" s="8" t="e">
        <f t="shared" si="138"/>
        <v>#VALUE!</v>
      </c>
      <c r="C145" t="str">
        <f t="shared" si="84"/>
        <v>PHKG</v>
      </c>
      <c r="D145" t="str">
        <f>"XS5"</f>
        <v>XS5</v>
      </c>
      <c r="E145" t="str">
        <f>"HAI BANG DA 8"</f>
        <v>HAI BANG DA 8</v>
      </c>
      <c r="F145" t="str">
        <f>""</f>
        <v/>
      </c>
      <c r="G145" t="str">
        <f t="shared" si="133"/>
        <v>OOCL</v>
      </c>
      <c r="H145" t="str">
        <f>""</f>
        <v/>
      </c>
      <c r="I145" t="str">
        <f>"321"</f>
        <v>321</v>
      </c>
      <c r="J145" t="str">
        <f>"N"</f>
        <v>N</v>
      </c>
      <c r="K145" t="str">
        <f>"1"</f>
        <v>1</v>
      </c>
      <c r="L145" t="str">
        <f t="shared" si="140"/>
        <v>HKG02</v>
      </c>
      <c r="M145" t="str">
        <f t="shared" si="141"/>
        <v>HIT - Hongkong International Terminals</v>
      </c>
      <c r="N145" t="str">
        <f t="shared" si="134"/>
        <v>HKG</v>
      </c>
      <c r="O145" t="str">
        <f t="shared" si="142"/>
        <v>1</v>
      </c>
      <c r="P145" t="str">
        <f>""</f>
        <v/>
      </c>
      <c r="Q145" t="str">
        <f>"321N"</f>
        <v>321N</v>
      </c>
      <c r="R145" t="str">
        <f>"321N"</f>
        <v>321N</v>
      </c>
      <c r="S145" t="str">
        <f>""</f>
        <v/>
      </c>
      <c r="T145" t="str">
        <f>"01 Aug 2019 22:00"</f>
        <v>01 Aug 2019 22:00</v>
      </c>
      <c r="U145" t="str">
        <f>"01 Aug 2019 23:00"</f>
        <v>01 Aug 2019 23:00</v>
      </c>
      <c r="V145" t="str">
        <f>"1h"</f>
        <v>1h</v>
      </c>
      <c r="W145" t="str">
        <f>"01 Aug 2019 22:00"</f>
        <v>01 Aug 2019 22:00</v>
      </c>
      <c r="X145" t="str">
        <f>""</f>
        <v/>
      </c>
      <c r="Y145" t="str">
        <f>"01 Aug 2019 23:00"</f>
        <v>01 Aug 2019 23:00</v>
      </c>
      <c r="Z145" t="str">
        <f>""</f>
        <v/>
      </c>
      <c r="AA145" t="str">
        <f>""</f>
        <v/>
      </c>
      <c r="AB145" t="str">
        <f t="shared" si="135"/>
        <v>NN</v>
      </c>
      <c r="AC145" t="str">
        <f t="shared" ref="AC145:AC153" si="154">"LL"</f>
        <v>LL</v>
      </c>
      <c r="AD145" t="str">
        <f t="shared" ref="AD145:AD153" si="155">"0"</f>
        <v>0</v>
      </c>
      <c r="AE145" t="str">
        <f t="shared" si="152"/>
        <v>0</v>
      </c>
      <c r="AF145" t="str">
        <f t="shared" ref="AF145:AO145" si="156">"01 Aug 2019 22:00"</f>
        <v>01 Aug 2019 22:00</v>
      </c>
      <c r="AG145" t="str">
        <f t="shared" si="156"/>
        <v>01 Aug 2019 22:00</v>
      </c>
      <c r="AH145" t="str">
        <f t="shared" si="156"/>
        <v>01 Aug 2019 22:00</v>
      </c>
      <c r="AI145" t="str">
        <f t="shared" si="156"/>
        <v>01 Aug 2019 22:00</v>
      </c>
      <c r="AJ145" t="str">
        <f t="shared" si="156"/>
        <v>01 Aug 2019 22:00</v>
      </c>
      <c r="AK145" t="str">
        <f t="shared" si="156"/>
        <v>01 Aug 2019 22:00</v>
      </c>
      <c r="AL145" t="str">
        <f t="shared" si="156"/>
        <v>01 Aug 2019 22:00</v>
      </c>
      <c r="AM145" t="str">
        <f t="shared" si="156"/>
        <v>01 Aug 2019 22:00</v>
      </c>
      <c r="AN145" t="str">
        <f t="shared" si="156"/>
        <v>01 Aug 2019 22:00</v>
      </c>
      <c r="AO145" t="str">
        <f t="shared" si="156"/>
        <v>01 Aug 2019 22:00</v>
      </c>
      <c r="AP145" t="str">
        <f>""</f>
        <v/>
      </c>
      <c r="AQ145" t="str">
        <f>"01 Aug 2019 22:00"</f>
        <v>01 Aug 2019 22:00</v>
      </c>
      <c r="AR145" t="str">
        <f t="shared" si="148"/>
        <v>Y</v>
      </c>
      <c r="AS145" t="str">
        <f t="shared" si="148"/>
        <v>Y</v>
      </c>
      <c r="AT145" t="str">
        <f t="shared" si="148"/>
        <v>Y</v>
      </c>
      <c r="AU145" t="str">
        <f t="shared" si="151"/>
        <v>N</v>
      </c>
      <c r="AV145" t="str">
        <f t="shared" si="151"/>
        <v>N</v>
      </c>
      <c r="AW145" t="str">
        <f>""</f>
        <v/>
      </c>
      <c r="AX145" t="str">
        <f t="shared" si="136"/>
        <v>No</v>
      </c>
      <c r="AY145" t="str">
        <f>""</f>
        <v/>
      </c>
      <c r="AZ145" t="s">
        <v>12</v>
      </c>
      <c r="BA145" t="s">
        <v>110</v>
      </c>
      <c r="BB145" t="s">
        <v>110</v>
      </c>
    </row>
    <row r="146" spans="1:54">
      <c r="A146" s="7" t="str">
        <f t="shared" si="137"/>
        <v>PHKG6JW921S</v>
      </c>
      <c r="B146" s="8" t="e">
        <f t="shared" si="138"/>
        <v>#VALUE!</v>
      </c>
      <c r="C146" t="str">
        <f t="shared" si="84"/>
        <v>PHKG</v>
      </c>
      <c r="D146" t="str">
        <f>"6JW"</f>
        <v>6JW</v>
      </c>
      <c r="E146" t="str">
        <f>"HONGTAI 61"</f>
        <v>HONGTAI 61</v>
      </c>
      <c r="F146" t="str">
        <f>""</f>
        <v/>
      </c>
      <c r="G146" t="str">
        <f t="shared" si="133"/>
        <v>OOCL</v>
      </c>
      <c r="H146" t="str">
        <f>""</f>
        <v/>
      </c>
      <c r="I146" t="str">
        <f>"921"</f>
        <v>921</v>
      </c>
      <c r="J146" t="str">
        <f>"S"</f>
        <v>S</v>
      </c>
      <c r="K146" t="str">
        <f>"2"</f>
        <v>2</v>
      </c>
      <c r="L146" t="str">
        <f t="shared" si="140"/>
        <v>HKG02</v>
      </c>
      <c r="M146" t="str">
        <f t="shared" si="141"/>
        <v>HIT - Hongkong International Terminals</v>
      </c>
      <c r="N146" t="str">
        <f t="shared" si="134"/>
        <v>HKG</v>
      </c>
      <c r="O146" t="str">
        <f t="shared" si="142"/>
        <v>1</v>
      </c>
      <c r="P146" t="str">
        <f>""</f>
        <v/>
      </c>
      <c r="Q146" t="str">
        <f>"921S"</f>
        <v>921S</v>
      </c>
      <c r="R146" t="str">
        <f>"921S"</f>
        <v>921S</v>
      </c>
      <c r="S146" t="str">
        <f>""</f>
        <v/>
      </c>
      <c r="T146" t="str">
        <f>"02 Aug 2019 00:00"</f>
        <v>02 Aug 2019 00:00</v>
      </c>
      <c r="U146" t="str">
        <f>"02 Aug 2019 02:00"</f>
        <v>02 Aug 2019 02:00</v>
      </c>
      <c r="V146" t="str">
        <f>"2h"</f>
        <v>2h</v>
      </c>
      <c r="W146" t="str">
        <f>"02 Aug 2019 00:00"</f>
        <v>02 Aug 2019 00:00</v>
      </c>
      <c r="X146" t="str">
        <f>""</f>
        <v/>
      </c>
      <c r="Y146" t="str">
        <f>"02 Aug 2019 02:00"</f>
        <v>02 Aug 2019 02:00</v>
      </c>
      <c r="Z146" t="str">
        <f>""</f>
        <v/>
      </c>
      <c r="AA146" t="str">
        <f>""</f>
        <v/>
      </c>
      <c r="AB146" t="str">
        <f t="shared" si="135"/>
        <v>NN</v>
      </c>
      <c r="AC146" t="str">
        <f t="shared" si="154"/>
        <v>LL</v>
      </c>
      <c r="AD146" t="str">
        <f t="shared" si="155"/>
        <v>0</v>
      </c>
      <c r="AE146" t="str">
        <f t="shared" si="152"/>
        <v>0</v>
      </c>
      <c r="AF146" t="str">
        <f>"02 Aug 2019 00:00"</f>
        <v>02 Aug 2019 00:00</v>
      </c>
      <c r="AG146" t="str">
        <f>"02 Aug 2019 00:00"</f>
        <v>02 Aug 2019 00:00</v>
      </c>
      <c r="AH146" t="str">
        <f>"02 Aug 2019 00:00"</f>
        <v>02 Aug 2019 00:00</v>
      </c>
      <c r="AI146" t="str">
        <f>"02 Aug 2019 00:00"</f>
        <v>02 Aug 2019 00:00</v>
      </c>
      <c r="AJ146" t="str">
        <f>"02 Aug 2019 00:00"</f>
        <v>02 Aug 2019 00:00</v>
      </c>
      <c r="AK146" t="str">
        <f t="shared" ref="AK146:AO147" si="157">"02 Aug 2019 02:00"</f>
        <v>02 Aug 2019 02:00</v>
      </c>
      <c r="AL146" t="str">
        <f t="shared" si="157"/>
        <v>02 Aug 2019 02:00</v>
      </c>
      <c r="AM146" t="str">
        <f t="shared" si="157"/>
        <v>02 Aug 2019 02:00</v>
      </c>
      <c r="AN146" t="str">
        <f t="shared" si="157"/>
        <v>02 Aug 2019 02:00</v>
      </c>
      <c r="AO146" t="str">
        <f t="shared" si="157"/>
        <v>02 Aug 2019 02:00</v>
      </c>
      <c r="AP146" t="str">
        <f>""</f>
        <v/>
      </c>
      <c r="AQ146" t="str">
        <f>"02 Aug 2019 00:00"</f>
        <v>02 Aug 2019 00:00</v>
      </c>
      <c r="AR146" t="str">
        <f t="shared" si="148"/>
        <v>Y</v>
      </c>
      <c r="AS146" t="str">
        <f t="shared" si="148"/>
        <v>Y</v>
      </c>
      <c r="AT146" t="str">
        <f t="shared" si="148"/>
        <v>Y</v>
      </c>
      <c r="AU146" t="str">
        <f t="shared" si="151"/>
        <v>N</v>
      </c>
      <c r="AV146" t="str">
        <f t="shared" si="151"/>
        <v>N</v>
      </c>
      <c r="AW146" t="str">
        <f>""</f>
        <v/>
      </c>
      <c r="AX146" t="str">
        <f t="shared" si="136"/>
        <v>No</v>
      </c>
      <c r="AY146" t="str">
        <f>""</f>
        <v/>
      </c>
      <c r="AZ146" t="s">
        <v>12</v>
      </c>
      <c r="BA146" t="s">
        <v>110</v>
      </c>
      <c r="BB146" t="s">
        <v>110</v>
      </c>
    </row>
    <row r="147" spans="1:54">
      <c r="A147" s="7" t="str">
        <f t="shared" si="137"/>
        <v>PHKGXR5173S</v>
      </c>
      <c r="B147" s="8" t="e">
        <f t="shared" si="138"/>
        <v>#VALUE!</v>
      </c>
      <c r="C147" t="str">
        <f t="shared" si="84"/>
        <v>PHKG</v>
      </c>
      <c r="D147" t="str">
        <f>"XR5"</f>
        <v>XR5</v>
      </c>
      <c r="E147" t="str">
        <f>"FU YUE 128"</f>
        <v>FU YUE 128</v>
      </c>
      <c r="F147" t="str">
        <f>""</f>
        <v/>
      </c>
      <c r="G147" t="str">
        <f t="shared" si="133"/>
        <v>OOCL</v>
      </c>
      <c r="H147" t="str">
        <f>""</f>
        <v/>
      </c>
      <c r="I147" t="str">
        <f>"173"</f>
        <v>173</v>
      </c>
      <c r="J147" t="str">
        <f>"S"</f>
        <v>S</v>
      </c>
      <c r="K147" t="str">
        <f>"2"</f>
        <v>2</v>
      </c>
      <c r="L147" t="str">
        <f t="shared" si="140"/>
        <v>HKG02</v>
      </c>
      <c r="M147" t="str">
        <f t="shared" si="141"/>
        <v>HIT - Hongkong International Terminals</v>
      </c>
      <c r="N147" t="str">
        <f t="shared" si="134"/>
        <v>HKG</v>
      </c>
      <c r="O147" t="str">
        <f t="shared" si="142"/>
        <v>1</v>
      </c>
      <c r="P147" t="str">
        <f>""</f>
        <v/>
      </c>
      <c r="Q147" t="str">
        <f>"173S"</f>
        <v>173S</v>
      </c>
      <c r="R147" t="str">
        <f>"173S"</f>
        <v>173S</v>
      </c>
      <c r="S147" t="str">
        <f>""</f>
        <v/>
      </c>
      <c r="T147" t="str">
        <f>"02 Aug 2019 01:00"</f>
        <v>02 Aug 2019 01:00</v>
      </c>
      <c r="U147" t="str">
        <f>"02 Aug 2019 02:00"</f>
        <v>02 Aug 2019 02:00</v>
      </c>
      <c r="V147" t="str">
        <f>"1h"</f>
        <v>1h</v>
      </c>
      <c r="W147" t="str">
        <f>"02 Aug 2019 01:00"</f>
        <v>02 Aug 2019 01:00</v>
      </c>
      <c r="X147" t="str">
        <f>""</f>
        <v/>
      </c>
      <c r="Y147" t="str">
        <f>"02 Aug 2019 02:00"</f>
        <v>02 Aug 2019 02:00</v>
      </c>
      <c r="Z147" t="str">
        <f>""</f>
        <v/>
      </c>
      <c r="AA147" t="str">
        <f>""</f>
        <v/>
      </c>
      <c r="AB147" t="str">
        <f t="shared" si="135"/>
        <v>NN</v>
      </c>
      <c r="AC147" t="str">
        <f t="shared" si="154"/>
        <v>LL</v>
      </c>
      <c r="AD147" t="str">
        <f t="shared" si="155"/>
        <v>0</v>
      </c>
      <c r="AE147" t="str">
        <f t="shared" si="152"/>
        <v>0</v>
      </c>
      <c r="AF147" t="str">
        <f>"02 Aug 2019 01:00"</f>
        <v>02 Aug 2019 01:00</v>
      </c>
      <c r="AG147" t="str">
        <f>"02 Aug 2019 01:00"</f>
        <v>02 Aug 2019 01:00</v>
      </c>
      <c r="AH147" t="str">
        <f>"02 Aug 2019 01:00"</f>
        <v>02 Aug 2019 01:00</v>
      </c>
      <c r="AI147" t="str">
        <f>"02 Aug 2019 01:00"</f>
        <v>02 Aug 2019 01:00</v>
      </c>
      <c r="AJ147" t="str">
        <f>"02 Aug 2019 01:00"</f>
        <v>02 Aug 2019 01:00</v>
      </c>
      <c r="AK147" t="str">
        <f t="shared" si="157"/>
        <v>02 Aug 2019 02:00</v>
      </c>
      <c r="AL147" t="str">
        <f t="shared" si="157"/>
        <v>02 Aug 2019 02:00</v>
      </c>
      <c r="AM147" t="str">
        <f t="shared" si="157"/>
        <v>02 Aug 2019 02:00</v>
      </c>
      <c r="AN147" t="str">
        <f t="shared" si="157"/>
        <v>02 Aug 2019 02:00</v>
      </c>
      <c r="AO147" t="str">
        <f t="shared" si="157"/>
        <v>02 Aug 2019 02:00</v>
      </c>
      <c r="AP147" t="str">
        <f>""</f>
        <v/>
      </c>
      <c r="AQ147" t="str">
        <f>"02 Aug 2019 01:00"</f>
        <v>02 Aug 2019 01:00</v>
      </c>
      <c r="AR147" t="str">
        <f t="shared" si="148"/>
        <v>Y</v>
      </c>
      <c r="AS147" t="str">
        <f t="shared" si="148"/>
        <v>Y</v>
      </c>
      <c r="AT147" t="str">
        <f t="shared" si="148"/>
        <v>Y</v>
      </c>
      <c r="AU147" t="str">
        <f t="shared" si="151"/>
        <v>N</v>
      </c>
      <c r="AV147" t="str">
        <f t="shared" si="151"/>
        <v>N</v>
      </c>
      <c r="AW147" t="str">
        <f>""</f>
        <v/>
      </c>
      <c r="AX147" t="str">
        <f t="shared" si="136"/>
        <v>No</v>
      </c>
      <c r="AY147" t="str">
        <f>""</f>
        <v/>
      </c>
      <c r="AZ147" t="s">
        <v>12</v>
      </c>
      <c r="BA147" t="s">
        <v>110</v>
      </c>
      <c r="BB147" t="s">
        <v>110</v>
      </c>
    </row>
    <row r="148" spans="1:54">
      <c r="A148" s="7" t="str">
        <f t="shared" si="137"/>
        <v>PHKG7AD062S</v>
      </c>
      <c r="B148" s="8" t="e">
        <f t="shared" si="138"/>
        <v>#VALUE!</v>
      </c>
      <c r="C148" t="str">
        <f t="shared" si="84"/>
        <v>PHKG</v>
      </c>
      <c r="D148" t="str">
        <f>"7AD"</f>
        <v>7AD</v>
      </c>
      <c r="E148" t="str">
        <f>"YUE ZHU 189"</f>
        <v>YUE ZHU 189</v>
      </c>
      <c r="F148" t="str">
        <f>""</f>
        <v/>
      </c>
      <c r="G148" t="str">
        <f t="shared" si="133"/>
        <v>OOCL</v>
      </c>
      <c r="H148" t="str">
        <f>""</f>
        <v/>
      </c>
      <c r="I148" t="str">
        <f>"062"</f>
        <v>062</v>
      </c>
      <c r="J148" t="str">
        <f>"S"</f>
        <v>S</v>
      </c>
      <c r="K148" t="str">
        <f>"3"</f>
        <v>3</v>
      </c>
      <c r="L148" t="str">
        <f t="shared" si="140"/>
        <v>HKG02</v>
      </c>
      <c r="M148" t="str">
        <f t="shared" si="141"/>
        <v>HIT - Hongkong International Terminals</v>
      </c>
      <c r="N148" t="str">
        <f t="shared" si="134"/>
        <v>HKG</v>
      </c>
      <c r="O148" t="str">
        <f t="shared" si="142"/>
        <v>1</v>
      </c>
      <c r="P148" t="str">
        <f>""</f>
        <v/>
      </c>
      <c r="Q148" t="str">
        <f>"062S"</f>
        <v>062S</v>
      </c>
      <c r="R148" t="str">
        <f>"062S"</f>
        <v>062S</v>
      </c>
      <c r="S148" t="str">
        <f>""</f>
        <v/>
      </c>
      <c r="T148" t="str">
        <f>"02 Aug 2019 08:00"</f>
        <v>02 Aug 2019 08:00</v>
      </c>
      <c r="U148" t="str">
        <f>"02 Aug 2019 10:00"</f>
        <v>02 Aug 2019 10:00</v>
      </c>
      <c r="V148" t="str">
        <f>"2h"</f>
        <v>2h</v>
      </c>
      <c r="W148" t="str">
        <f>"02 Aug 2019 08:00"</f>
        <v>02 Aug 2019 08:00</v>
      </c>
      <c r="X148" t="str">
        <f>""</f>
        <v/>
      </c>
      <c r="Y148" t="str">
        <f>"02 Aug 2019 10:00"</f>
        <v>02 Aug 2019 10:00</v>
      </c>
      <c r="Z148" t="str">
        <f>""</f>
        <v/>
      </c>
      <c r="AA148" t="str">
        <f>""</f>
        <v/>
      </c>
      <c r="AB148" t="str">
        <f t="shared" si="135"/>
        <v>NN</v>
      </c>
      <c r="AC148" t="str">
        <f t="shared" si="154"/>
        <v>LL</v>
      </c>
      <c r="AD148" t="str">
        <f t="shared" si="155"/>
        <v>0</v>
      </c>
      <c r="AE148" t="str">
        <f t="shared" si="152"/>
        <v>0</v>
      </c>
      <c r="AF148" t="str">
        <f>"02 Aug 2019 18:00"</f>
        <v>02 Aug 2019 18:00</v>
      </c>
      <c r="AG148" t="str">
        <f>"02 Aug 2019 18:00"</f>
        <v>02 Aug 2019 18:00</v>
      </c>
      <c r="AH148" t="str">
        <f>"02 Aug 2019 18:00"</f>
        <v>02 Aug 2019 18:00</v>
      </c>
      <c r="AI148" t="str">
        <f>"02 Aug 2019 18:00"</f>
        <v>02 Aug 2019 18:00</v>
      </c>
      <c r="AJ148" t="str">
        <f>"02 Aug 2019 18:00"</f>
        <v>02 Aug 2019 18:00</v>
      </c>
      <c r="AK148" t="str">
        <f>"02 Aug 2019 06:00"</f>
        <v>02 Aug 2019 06:00</v>
      </c>
      <c r="AL148" t="str">
        <f>"02 Aug 2019 06:00"</f>
        <v>02 Aug 2019 06:00</v>
      </c>
      <c r="AM148" t="str">
        <f>"02 Aug 2019 06:00"</f>
        <v>02 Aug 2019 06:00</v>
      </c>
      <c r="AN148" t="str">
        <f>"02 Aug 2019 06:00"</f>
        <v>02 Aug 2019 06:00</v>
      </c>
      <c r="AO148" t="str">
        <f>"02 Aug 2019 06:00"</f>
        <v>02 Aug 2019 06:00</v>
      </c>
      <c r="AP148" t="str">
        <f>""</f>
        <v/>
      </c>
      <c r="AQ148" t="str">
        <f>"02 Aug 2019 18:00"</f>
        <v>02 Aug 2019 18:00</v>
      </c>
      <c r="AR148" t="str">
        <f t="shared" si="148"/>
        <v>Y</v>
      </c>
      <c r="AS148" t="str">
        <f t="shared" si="148"/>
        <v>Y</v>
      </c>
      <c r="AT148" t="str">
        <f t="shared" si="148"/>
        <v>Y</v>
      </c>
      <c r="AU148" t="str">
        <f t="shared" si="151"/>
        <v>N</v>
      </c>
      <c r="AV148" t="str">
        <f t="shared" si="151"/>
        <v>N</v>
      </c>
      <c r="AW148" t="str">
        <f>""</f>
        <v/>
      </c>
      <c r="AX148" t="str">
        <f t="shared" si="136"/>
        <v>No</v>
      </c>
      <c r="AY148" t="str">
        <f>""</f>
        <v/>
      </c>
      <c r="AZ148" t="s">
        <v>12</v>
      </c>
      <c r="BA148" t="s">
        <v>110</v>
      </c>
      <c r="BB148" t="s">
        <v>110</v>
      </c>
    </row>
    <row r="149" spans="1:54">
      <c r="A149" s="7" t="str">
        <f t="shared" si="137"/>
        <v>PHKG8WV015N</v>
      </c>
      <c r="B149" s="8" t="e">
        <f t="shared" si="138"/>
        <v>#VALUE!</v>
      </c>
      <c r="C149" t="str">
        <f t="shared" si="84"/>
        <v>PHKG</v>
      </c>
      <c r="D149" t="str">
        <f>"8WV"</f>
        <v>8WV</v>
      </c>
      <c r="E149" t="str">
        <f>"NAN GANG 21"</f>
        <v>NAN GANG 21</v>
      </c>
      <c r="F149" t="str">
        <f>""</f>
        <v/>
      </c>
      <c r="G149" t="str">
        <f t="shared" si="133"/>
        <v>OOCL</v>
      </c>
      <c r="H149" t="str">
        <f>""</f>
        <v/>
      </c>
      <c r="I149" t="str">
        <f>"015"</f>
        <v>015</v>
      </c>
      <c r="J149" t="str">
        <f>"N"</f>
        <v>N</v>
      </c>
      <c r="K149" t="str">
        <f>"1"</f>
        <v>1</v>
      </c>
      <c r="L149" t="str">
        <f t="shared" si="140"/>
        <v>HKG02</v>
      </c>
      <c r="M149" t="str">
        <f t="shared" si="141"/>
        <v>HIT - Hongkong International Terminals</v>
      </c>
      <c r="N149" t="str">
        <f t="shared" si="134"/>
        <v>HKG</v>
      </c>
      <c r="O149" t="str">
        <f t="shared" si="142"/>
        <v>1</v>
      </c>
      <c r="P149" t="str">
        <f>""</f>
        <v/>
      </c>
      <c r="Q149" t="str">
        <f>"015N"</f>
        <v>015N</v>
      </c>
      <c r="R149" t="str">
        <f>"015N"</f>
        <v>015N</v>
      </c>
      <c r="S149" t="str">
        <f>""</f>
        <v/>
      </c>
      <c r="T149" t="str">
        <f>"02 Aug 2019 08:00"</f>
        <v>02 Aug 2019 08:00</v>
      </c>
      <c r="U149" t="str">
        <f>"02 Aug 2019 10:00"</f>
        <v>02 Aug 2019 10:00</v>
      </c>
      <c r="V149" t="str">
        <f>"2h"</f>
        <v>2h</v>
      </c>
      <c r="W149" t="str">
        <f>"02 Aug 2019 08:00"</f>
        <v>02 Aug 2019 08:00</v>
      </c>
      <c r="X149" t="str">
        <f>""</f>
        <v/>
      </c>
      <c r="Y149" t="str">
        <f>"02 Aug 2019 10:00"</f>
        <v>02 Aug 2019 10:00</v>
      </c>
      <c r="Z149" t="str">
        <f>""</f>
        <v/>
      </c>
      <c r="AA149" t="str">
        <f>""</f>
        <v/>
      </c>
      <c r="AB149" t="str">
        <f t="shared" si="135"/>
        <v>NN</v>
      </c>
      <c r="AC149" t="str">
        <f t="shared" si="154"/>
        <v>LL</v>
      </c>
      <c r="AD149" t="str">
        <f t="shared" si="155"/>
        <v>0</v>
      </c>
      <c r="AE149" t="str">
        <f t="shared" si="152"/>
        <v>0</v>
      </c>
      <c r="AF149" t="str">
        <f>"02 Aug 2019 08:00"</f>
        <v>02 Aug 2019 08:00</v>
      </c>
      <c r="AG149" t="str">
        <f>"02 Aug 2019 08:00"</f>
        <v>02 Aug 2019 08:00</v>
      </c>
      <c r="AH149" t="str">
        <f>"02 Aug 2019 08:00"</f>
        <v>02 Aug 2019 08:00</v>
      </c>
      <c r="AI149" t="str">
        <f>"02 Aug 2019 08:00"</f>
        <v>02 Aug 2019 08:00</v>
      </c>
      <c r="AJ149" t="str">
        <f>"02 Aug 2019 08:00"</f>
        <v>02 Aug 2019 08:00</v>
      </c>
      <c r="AK149" t="str">
        <f>"26 Jul 2019 10:00"</f>
        <v>26 Jul 2019 10:00</v>
      </c>
      <c r="AL149" t="str">
        <f>"26 Jul 2019 10:00"</f>
        <v>26 Jul 2019 10:00</v>
      </c>
      <c r="AM149" t="str">
        <f>"26 Jul 2019 10:00"</f>
        <v>26 Jul 2019 10:00</v>
      </c>
      <c r="AN149" t="str">
        <f>"26 Jul 2019 10:00"</f>
        <v>26 Jul 2019 10:00</v>
      </c>
      <c r="AO149" t="str">
        <f>"26 Jul 2019 10:00"</f>
        <v>26 Jul 2019 10:00</v>
      </c>
      <c r="AP149" t="str">
        <f>""</f>
        <v/>
      </c>
      <c r="AQ149" t="str">
        <f>"02 Aug 2019 08:00"</f>
        <v>02 Aug 2019 08:00</v>
      </c>
      <c r="AR149" t="str">
        <f t="shared" si="148"/>
        <v>Y</v>
      </c>
      <c r="AS149" t="str">
        <f t="shared" si="148"/>
        <v>Y</v>
      </c>
      <c r="AT149" t="str">
        <f t="shared" si="148"/>
        <v>Y</v>
      </c>
      <c r="AU149" t="str">
        <f t="shared" si="151"/>
        <v>N</v>
      </c>
      <c r="AV149" t="str">
        <f t="shared" si="151"/>
        <v>N</v>
      </c>
      <c r="AW149" t="str">
        <f>""</f>
        <v/>
      </c>
      <c r="AX149" t="str">
        <f t="shared" si="136"/>
        <v>No</v>
      </c>
      <c r="AY149" t="str">
        <f>""</f>
        <v/>
      </c>
      <c r="AZ149" t="s">
        <v>12</v>
      </c>
      <c r="BA149" t="s">
        <v>110</v>
      </c>
      <c r="BB149" t="s">
        <v>110</v>
      </c>
    </row>
    <row r="150" spans="1:54">
      <c r="A150" s="7" t="str">
        <f t="shared" si="137"/>
        <v>PHKG4FF208S</v>
      </c>
      <c r="B150" s="8">
        <f t="shared" si="138"/>
        <v>43677.583333333336</v>
      </c>
      <c r="C150" t="str">
        <f t="shared" ref="C150:C153" si="158">"PHKG"</f>
        <v>PHKG</v>
      </c>
      <c r="D150" t="str">
        <f>"4FF"</f>
        <v>4FF</v>
      </c>
      <c r="E150" t="str">
        <f>"HUI YUE 11"</f>
        <v>HUI YUE 11</v>
      </c>
      <c r="F150" t="str">
        <f>""</f>
        <v/>
      </c>
      <c r="G150" t="str">
        <f t="shared" si="133"/>
        <v>OOCL</v>
      </c>
      <c r="H150" t="str">
        <f>""</f>
        <v/>
      </c>
      <c r="I150" t="str">
        <f>"208"</f>
        <v>208</v>
      </c>
      <c r="J150" t="str">
        <f>"S"</f>
        <v>S</v>
      </c>
      <c r="K150" t="str">
        <f>"2"</f>
        <v>2</v>
      </c>
      <c r="L150" t="str">
        <f t="shared" si="140"/>
        <v>HKG02</v>
      </c>
      <c r="M150" t="str">
        <f t="shared" si="141"/>
        <v>HIT - Hongkong International Terminals</v>
      </c>
      <c r="N150" t="str">
        <f t="shared" si="134"/>
        <v>HKG</v>
      </c>
      <c r="O150" t="str">
        <f t="shared" si="142"/>
        <v>1</v>
      </c>
      <c r="P150" t="str">
        <f>""</f>
        <v/>
      </c>
      <c r="Q150" t="str">
        <f>"208S"</f>
        <v>208S</v>
      </c>
      <c r="R150" t="str">
        <f>"208S"</f>
        <v>208S</v>
      </c>
      <c r="S150" t="str">
        <f>""</f>
        <v/>
      </c>
      <c r="T150" t="str">
        <f>"02 Aug 2019 16:00"</f>
        <v>02 Aug 2019 16:00</v>
      </c>
      <c r="U150" t="str">
        <f>"02 Aug 2019 18:00"</f>
        <v>02 Aug 2019 18:00</v>
      </c>
      <c r="V150" t="str">
        <f>"2h"</f>
        <v>2h</v>
      </c>
      <c r="W150" t="str">
        <f>"02 Aug 2019 16:00"</f>
        <v>02 Aug 2019 16:00</v>
      </c>
      <c r="X150" t="str">
        <f>""</f>
        <v/>
      </c>
      <c r="Y150" t="str">
        <f>"02 Aug 2019 18:00"</f>
        <v>02 Aug 2019 18:00</v>
      </c>
      <c r="Z150" t="str">
        <f>""</f>
        <v/>
      </c>
      <c r="AA150" t="str">
        <f>""</f>
        <v/>
      </c>
      <c r="AB150" t="str">
        <f t="shared" si="135"/>
        <v>NN</v>
      </c>
      <c r="AC150" t="str">
        <f t="shared" si="154"/>
        <v>LL</v>
      </c>
      <c r="AD150" t="str">
        <f t="shared" si="155"/>
        <v>0</v>
      </c>
      <c r="AE150" t="str">
        <f t="shared" si="152"/>
        <v>0</v>
      </c>
      <c r="AF150" t="str">
        <f t="shared" ref="AF150:AO150" si="159">"02 Aug 2019 18:00"</f>
        <v>02 Aug 2019 18:00</v>
      </c>
      <c r="AG150" t="str">
        <f t="shared" si="159"/>
        <v>02 Aug 2019 18:00</v>
      </c>
      <c r="AH150" t="str">
        <f t="shared" si="159"/>
        <v>02 Aug 2019 18:00</v>
      </c>
      <c r="AI150" t="str">
        <f t="shared" si="159"/>
        <v>02 Aug 2019 18:00</v>
      </c>
      <c r="AJ150" t="str">
        <f t="shared" si="159"/>
        <v>02 Aug 2019 18:00</v>
      </c>
      <c r="AK150" t="str">
        <f t="shared" si="159"/>
        <v>02 Aug 2019 18:00</v>
      </c>
      <c r="AL150" t="str">
        <f t="shared" si="159"/>
        <v>02 Aug 2019 18:00</v>
      </c>
      <c r="AM150" t="str">
        <f t="shared" si="159"/>
        <v>02 Aug 2019 18:00</v>
      </c>
      <c r="AN150" t="str">
        <f t="shared" si="159"/>
        <v>02 Aug 2019 18:00</v>
      </c>
      <c r="AO150" t="str">
        <f t="shared" si="159"/>
        <v>02 Aug 2019 18:00</v>
      </c>
      <c r="AP150" t="str">
        <f>"31 Jul 2019 14:00"</f>
        <v>31 Jul 2019 14:00</v>
      </c>
      <c r="AQ150" t="str">
        <f>"02 Aug 2019 18:00"</f>
        <v>02 Aug 2019 18:00</v>
      </c>
      <c r="AR150" t="str">
        <f t="shared" si="148"/>
        <v>Y</v>
      </c>
      <c r="AS150" t="str">
        <f t="shared" si="148"/>
        <v>Y</v>
      </c>
      <c r="AT150" t="str">
        <f t="shared" si="148"/>
        <v>Y</v>
      </c>
      <c r="AU150" t="str">
        <f t="shared" si="151"/>
        <v>N</v>
      </c>
      <c r="AV150" t="str">
        <f t="shared" si="151"/>
        <v>N</v>
      </c>
      <c r="AW150" t="str">
        <f>""</f>
        <v/>
      </c>
      <c r="AX150" t="str">
        <f t="shared" si="136"/>
        <v>No</v>
      </c>
      <c r="AY150" t="str">
        <f>""</f>
        <v/>
      </c>
      <c r="AZ150" t="s">
        <v>12</v>
      </c>
      <c r="BA150" t="s">
        <v>110</v>
      </c>
      <c r="BB150" t="s">
        <v>110</v>
      </c>
    </row>
    <row r="151" spans="1:54">
      <c r="A151" s="7" t="str">
        <f t="shared" si="137"/>
        <v>PHKG2UM031S</v>
      </c>
      <c r="B151" s="8" t="e">
        <f t="shared" si="138"/>
        <v>#VALUE!</v>
      </c>
      <c r="C151" t="str">
        <f t="shared" si="158"/>
        <v>PHKG</v>
      </c>
      <c r="D151" t="str">
        <f>"2UM"</f>
        <v>2UM</v>
      </c>
      <c r="E151" t="str">
        <f>"JIN YUAN LUN 8 HAO"</f>
        <v>JIN YUAN LUN 8 HAO</v>
      </c>
      <c r="F151" t="str">
        <f>""</f>
        <v/>
      </c>
      <c r="G151" t="str">
        <f t="shared" si="133"/>
        <v>OOCL</v>
      </c>
      <c r="H151" t="str">
        <f>""</f>
        <v/>
      </c>
      <c r="I151" t="str">
        <f>"031"</f>
        <v>031</v>
      </c>
      <c r="J151" t="str">
        <f>"S"</f>
        <v>S</v>
      </c>
      <c r="K151" t="str">
        <f>"2"</f>
        <v>2</v>
      </c>
      <c r="L151" t="str">
        <f t="shared" si="140"/>
        <v>HKG02</v>
      </c>
      <c r="M151" t="str">
        <f t="shared" si="141"/>
        <v>HIT - Hongkong International Terminals</v>
      </c>
      <c r="N151" t="str">
        <f t="shared" si="134"/>
        <v>HKG</v>
      </c>
      <c r="O151" t="str">
        <f t="shared" si="142"/>
        <v>1</v>
      </c>
      <c r="P151" t="str">
        <f>""</f>
        <v/>
      </c>
      <c r="Q151" t="str">
        <f>"031S"</f>
        <v>031S</v>
      </c>
      <c r="R151" t="str">
        <f>"031S"</f>
        <v>031S</v>
      </c>
      <c r="S151" t="str">
        <f>""</f>
        <v/>
      </c>
      <c r="T151" t="str">
        <f>"02 Aug 2019 18:00"</f>
        <v>02 Aug 2019 18:00</v>
      </c>
      <c r="U151" t="str">
        <f>"02 Aug 2019 22:00"</f>
        <v>02 Aug 2019 22:00</v>
      </c>
      <c r="V151" t="str">
        <f>"4h"</f>
        <v>4h</v>
      </c>
      <c r="W151" t="str">
        <f>"02 Aug 2019 18:00"</f>
        <v>02 Aug 2019 18:00</v>
      </c>
      <c r="X151" t="str">
        <f>""</f>
        <v/>
      </c>
      <c r="Y151" t="str">
        <f>"02 Aug 2019 22:00"</f>
        <v>02 Aug 2019 22:00</v>
      </c>
      <c r="Z151" t="str">
        <f>""</f>
        <v/>
      </c>
      <c r="AA151" t="str">
        <f>""</f>
        <v/>
      </c>
      <c r="AB151" t="str">
        <f t="shared" si="135"/>
        <v>NN</v>
      </c>
      <c r="AC151" t="str">
        <f t="shared" si="154"/>
        <v>LL</v>
      </c>
      <c r="AD151" t="str">
        <f t="shared" si="155"/>
        <v>0</v>
      </c>
      <c r="AE151" t="str">
        <f t="shared" si="152"/>
        <v>0</v>
      </c>
      <c r="AF151" t="str">
        <f>"02 Aug 2019 18:00"</f>
        <v>02 Aug 2019 18:00</v>
      </c>
      <c r="AG151" t="str">
        <f>"02 Aug 2019 18:00"</f>
        <v>02 Aug 2019 18:00</v>
      </c>
      <c r="AH151" t="str">
        <f>"02 Aug 2019 18:00"</f>
        <v>02 Aug 2019 18:00</v>
      </c>
      <c r="AI151" t="str">
        <f>"02 Aug 2019 18:00"</f>
        <v>02 Aug 2019 18:00</v>
      </c>
      <c r="AJ151" t="str">
        <f>"02 Aug 2019 18:00"</f>
        <v>02 Aug 2019 18:00</v>
      </c>
      <c r="AK151" t="str">
        <f>"02 Aug 2019 16:00"</f>
        <v>02 Aug 2019 16:00</v>
      </c>
      <c r="AL151" t="str">
        <f>"02 Aug 2019 16:00"</f>
        <v>02 Aug 2019 16:00</v>
      </c>
      <c r="AM151" t="str">
        <f>"02 Aug 2019 16:00"</f>
        <v>02 Aug 2019 16:00</v>
      </c>
      <c r="AN151" t="str">
        <f>"02 Aug 2019 16:00"</f>
        <v>02 Aug 2019 16:00</v>
      </c>
      <c r="AO151" t="str">
        <f>"02 Aug 2019 16:00"</f>
        <v>02 Aug 2019 16:00</v>
      </c>
      <c r="AP151" t="str">
        <f>""</f>
        <v/>
      </c>
      <c r="AQ151" t="str">
        <f>"02 Aug 2019 18:00"</f>
        <v>02 Aug 2019 18:00</v>
      </c>
      <c r="AR151" t="str">
        <f t="shared" si="148"/>
        <v>Y</v>
      </c>
      <c r="AS151" t="str">
        <f t="shared" si="148"/>
        <v>Y</v>
      </c>
      <c r="AT151" t="str">
        <f t="shared" si="148"/>
        <v>Y</v>
      </c>
      <c r="AU151" t="str">
        <f t="shared" si="151"/>
        <v>N</v>
      </c>
      <c r="AV151" t="str">
        <f t="shared" si="151"/>
        <v>N</v>
      </c>
      <c r="AW151" t="str">
        <f>""</f>
        <v/>
      </c>
      <c r="AX151" t="str">
        <f t="shared" si="136"/>
        <v>No</v>
      </c>
      <c r="AY151" t="str">
        <f>""</f>
        <v/>
      </c>
      <c r="AZ151" t="s">
        <v>12</v>
      </c>
      <c r="BA151" t="s">
        <v>110</v>
      </c>
      <c r="BB151" t="s">
        <v>110</v>
      </c>
    </row>
    <row r="152" spans="1:54">
      <c r="A152" s="7" t="str">
        <f t="shared" si="137"/>
        <v>PHKG2GK190803N</v>
      </c>
      <c r="B152" s="8">
        <f t="shared" si="138"/>
        <v>43679.5</v>
      </c>
      <c r="C152" t="str">
        <f t="shared" si="158"/>
        <v>PHKG</v>
      </c>
      <c r="D152" t="str">
        <f>"2GK"</f>
        <v>2GK</v>
      </c>
      <c r="E152" t="str">
        <f>"HUI WAN 016"</f>
        <v>HUI WAN 016</v>
      </c>
      <c r="F152" t="str">
        <f>"USAS"</f>
        <v>USAS</v>
      </c>
      <c r="G152" t="str">
        <f t="shared" si="133"/>
        <v>OOCL</v>
      </c>
      <c r="H152" t="str">
        <f>""</f>
        <v/>
      </c>
      <c r="I152" t="str">
        <f>"238"</f>
        <v>238</v>
      </c>
      <c r="J152" t="str">
        <f>"N"</f>
        <v>N</v>
      </c>
      <c r="K152" t="str">
        <f>"1"</f>
        <v>1</v>
      </c>
      <c r="L152" t="str">
        <f>"HKG13"</f>
        <v>HKG13</v>
      </c>
      <c r="M152" t="str">
        <f>"River Trade Terminal Co., Ltd"</f>
        <v>River Trade Terminal Co., Ltd</v>
      </c>
      <c r="N152" t="str">
        <f t="shared" si="134"/>
        <v>HKG</v>
      </c>
      <c r="O152" t="str">
        <f t="shared" si="142"/>
        <v>1</v>
      </c>
      <c r="P152" t="str">
        <f>""</f>
        <v/>
      </c>
      <c r="Q152" t="str">
        <f>"190803N"</f>
        <v>190803N</v>
      </c>
      <c r="R152" t="str">
        <f>"190803N"</f>
        <v>190803N</v>
      </c>
      <c r="S152" t="str">
        <f>""</f>
        <v/>
      </c>
      <c r="T152" t="str">
        <f>"02 Aug 2019 23:00"</f>
        <v>02 Aug 2019 23:00</v>
      </c>
      <c r="U152" t="str">
        <f>"03 Aug 2019 00:00"</f>
        <v>03 Aug 2019 00:00</v>
      </c>
      <c r="V152" t="str">
        <f>"1h"</f>
        <v>1h</v>
      </c>
      <c r="W152" t="str">
        <f>"02 Aug 2019 23:00"</f>
        <v>02 Aug 2019 23:00</v>
      </c>
      <c r="X152" t="str">
        <f>""</f>
        <v/>
      </c>
      <c r="Y152" t="str">
        <f>"03 Aug 2019 00:00"</f>
        <v>03 Aug 2019 00:00</v>
      </c>
      <c r="Z152" t="str">
        <f>""</f>
        <v/>
      </c>
      <c r="AA152" t="str">
        <f>""</f>
        <v/>
      </c>
      <c r="AB152" t="str">
        <f t="shared" si="135"/>
        <v>NN</v>
      </c>
      <c r="AC152" t="str">
        <f t="shared" si="154"/>
        <v>LL</v>
      </c>
      <c r="AD152" t="str">
        <f t="shared" si="155"/>
        <v>0</v>
      </c>
      <c r="AE152" t="str">
        <f t="shared" si="152"/>
        <v>0</v>
      </c>
      <c r="AF152" t="str">
        <f t="shared" ref="AF152:AJ153" si="160">"02 Aug 2019 23:00"</f>
        <v>02 Aug 2019 23:00</v>
      </c>
      <c r="AG152" t="str">
        <f t="shared" si="160"/>
        <v>02 Aug 2019 23:00</v>
      </c>
      <c r="AH152" t="str">
        <f t="shared" si="160"/>
        <v>02 Aug 2019 23:00</v>
      </c>
      <c r="AI152" t="str">
        <f t="shared" si="160"/>
        <v>02 Aug 2019 23:00</v>
      </c>
      <c r="AJ152" t="str">
        <f t="shared" si="160"/>
        <v>02 Aug 2019 23:00</v>
      </c>
      <c r="AK152" t="str">
        <f t="shared" ref="AK152:AP153" si="161">"02 Aug 2019 12:00"</f>
        <v>02 Aug 2019 12:00</v>
      </c>
      <c r="AL152" t="str">
        <f t="shared" si="161"/>
        <v>02 Aug 2019 12:00</v>
      </c>
      <c r="AM152" t="str">
        <f t="shared" si="161"/>
        <v>02 Aug 2019 12:00</v>
      </c>
      <c r="AN152" t="str">
        <f t="shared" si="161"/>
        <v>02 Aug 2019 12:00</v>
      </c>
      <c r="AO152" t="str">
        <f t="shared" si="161"/>
        <v>02 Aug 2019 12:00</v>
      </c>
      <c r="AP152" t="str">
        <f t="shared" si="161"/>
        <v>02 Aug 2019 12:00</v>
      </c>
      <c r="AQ152" t="str">
        <f>"02 Aug 2019 23:00"</f>
        <v>02 Aug 2019 23:00</v>
      </c>
      <c r="AR152" t="str">
        <f t="shared" si="148"/>
        <v>Y</v>
      </c>
      <c r="AS152" t="str">
        <f t="shared" si="148"/>
        <v>Y</v>
      </c>
      <c r="AT152" t="str">
        <f t="shared" si="148"/>
        <v>Y</v>
      </c>
      <c r="AU152" t="str">
        <f t="shared" si="151"/>
        <v>N</v>
      </c>
      <c r="AV152" t="str">
        <f t="shared" si="151"/>
        <v>N</v>
      </c>
      <c r="AW152" t="str">
        <f>""</f>
        <v/>
      </c>
      <c r="AX152" t="str">
        <f t="shared" si="136"/>
        <v>No</v>
      </c>
      <c r="AY152" t="str">
        <f>""</f>
        <v/>
      </c>
      <c r="AZ152" t="s">
        <v>12</v>
      </c>
      <c r="BA152" t="s">
        <v>110</v>
      </c>
      <c r="BB152" t="s">
        <v>110</v>
      </c>
    </row>
    <row r="153" spans="1:54">
      <c r="A153" s="7" t="str">
        <f t="shared" si="137"/>
        <v>PHKGXE4190802N</v>
      </c>
      <c r="B153" s="8">
        <f t="shared" si="138"/>
        <v>43679.5</v>
      </c>
      <c r="C153" t="str">
        <f t="shared" si="158"/>
        <v>PHKG</v>
      </c>
      <c r="D153" t="str">
        <f>"XE4"</f>
        <v>XE4</v>
      </c>
      <c r="E153" t="str">
        <f>"GONG PING"</f>
        <v>GONG PING</v>
      </c>
      <c r="F153" t="str">
        <f>""</f>
        <v/>
      </c>
      <c r="G153" t="str">
        <f t="shared" si="133"/>
        <v>OOCL</v>
      </c>
      <c r="H153" t="str">
        <f>""</f>
        <v/>
      </c>
      <c r="I153" t="str">
        <f>"209"</f>
        <v>209</v>
      </c>
      <c r="J153" t="str">
        <f>"N"</f>
        <v>N</v>
      </c>
      <c r="K153" t="str">
        <f>"1"</f>
        <v>1</v>
      </c>
      <c r="L153" t="str">
        <f>"HKG13"</f>
        <v>HKG13</v>
      </c>
      <c r="M153" t="str">
        <f>"River Trade Terminal Co., Ltd"</f>
        <v>River Trade Terminal Co., Ltd</v>
      </c>
      <c r="N153" t="str">
        <f t="shared" si="134"/>
        <v>HKG</v>
      </c>
      <c r="O153" t="str">
        <f t="shared" si="142"/>
        <v>1</v>
      </c>
      <c r="P153" t="str">
        <f>""</f>
        <v/>
      </c>
      <c r="Q153" t="str">
        <f>"190802N"</f>
        <v>190802N</v>
      </c>
      <c r="R153" t="str">
        <f>"190802N"</f>
        <v>190802N</v>
      </c>
      <c r="S153" t="str">
        <f>""</f>
        <v/>
      </c>
      <c r="T153" t="str">
        <f>"02 Aug 2019 23:00"</f>
        <v>02 Aug 2019 23:00</v>
      </c>
      <c r="U153" t="str">
        <f>"03 Aug 2019 00:00"</f>
        <v>03 Aug 2019 00:00</v>
      </c>
      <c r="V153" t="str">
        <f>"1h"</f>
        <v>1h</v>
      </c>
      <c r="W153" t="str">
        <f>"02 Aug 2019 23:00"</f>
        <v>02 Aug 2019 23:00</v>
      </c>
      <c r="X153" t="str">
        <f>""</f>
        <v/>
      </c>
      <c r="Y153" t="str">
        <f>"03 Aug 2019 00:00"</f>
        <v>03 Aug 2019 00:00</v>
      </c>
      <c r="Z153" t="str">
        <f>""</f>
        <v/>
      </c>
      <c r="AA153" t="str">
        <f>""</f>
        <v/>
      </c>
      <c r="AB153" t="str">
        <f t="shared" si="135"/>
        <v>NN</v>
      </c>
      <c r="AC153" t="str">
        <f t="shared" si="154"/>
        <v>LL</v>
      </c>
      <c r="AD153" t="str">
        <f t="shared" si="155"/>
        <v>0</v>
      </c>
      <c r="AE153" t="str">
        <f t="shared" si="152"/>
        <v>0</v>
      </c>
      <c r="AF153" t="str">
        <f t="shared" si="160"/>
        <v>02 Aug 2019 23:00</v>
      </c>
      <c r="AG153" t="str">
        <f t="shared" si="160"/>
        <v>02 Aug 2019 23:00</v>
      </c>
      <c r="AH153" t="str">
        <f t="shared" si="160"/>
        <v>02 Aug 2019 23:00</v>
      </c>
      <c r="AI153" t="str">
        <f t="shared" si="160"/>
        <v>02 Aug 2019 23:00</v>
      </c>
      <c r="AJ153" t="str">
        <f t="shared" si="160"/>
        <v>02 Aug 2019 23:00</v>
      </c>
      <c r="AK153" t="str">
        <f t="shared" si="161"/>
        <v>02 Aug 2019 12:00</v>
      </c>
      <c r="AL153" t="str">
        <f t="shared" si="161"/>
        <v>02 Aug 2019 12:00</v>
      </c>
      <c r="AM153" t="str">
        <f t="shared" si="161"/>
        <v>02 Aug 2019 12:00</v>
      </c>
      <c r="AN153" t="str">
        <f t="shared" si="161"/>
        <v>02 Aug 2019 12:00</v>
      </c>
      <c r="AO153" t="str">
        <f t="shared" si="161"/>
        <v>02 Aug 2019 12:00</v>
      </c>
      <c r="AP153" t="str">
        <f t="shared" si="161"/>
        <v>02 Aug 2019 12:00</v>
      </c>
      <c r="AQ153" t="str">
        <f>"02 Aug 2019 23:00"</f>
        <v>02 Aug 2019 23:00</v>
      </c>
      <c r="AR153" t="str">
        <f t="shared" si="148"/>
        <v>Y</v>
      </c>
      <c r="AS153" t="str">
        <f t="shared" si="148"/>
        <v>Y</v>
      </c>
      <c r="AT153" t="str">
        <f t="shared" si="148"/>
        <v>Y</v>
      </c>
      <c r="AU153" t="str">
        <f t="shared" si="151"/>
        <v>N</v>
      </c>
      <c r="AV153" t="str">
        <f t="shared" si="151"/>
        <v>N</v>
      </c>
      <c r="AW153" t="str">
        <f>""</f>
        <v/>
      </c>
      <c r="AX153" t="str">
        <f t="shared" si="136"/>
        <v>No</v>
      </c>
      <c r="AY153" t="str">
        <f>""</f>
        <v/>
      </c>
      <c r="AZ153" t="s">
        <v>12</v>
      </c>
      <c r="BA153" t="s">
        <v>110</v>
      </c>
      <c r="BB153" t="s">
        <v>110</v>
      </c>
    </row>
    <row r="154" spans="1:54">
      <c r="A154" s="7" t="str">
        <f t="shared" si="137"/>
        <v>PNW4CSO069N</v>
      </c>
      <c r="B154" s="8">
        <f t="shared" si="138"/>
        <v>43675.958333333336</v>
      </c>
      <c r="C154" t="str">
        <f>"PNW4"</f>
        <v>PNW4</v>
      </c>
      <c r="D154" t="str">
        <f>"CSO"</f>
        <v>CSO</v>
      </c>
      <c r="E154" t="str">
        <f>"COSCO OCEANIA"</f>
        <v>COSCO OCEANIA</v>
      </c>
      <c r="F154" t="str">
        <f>"COSCO"</f>
        <v>COSCO</v>
      </c>
      <c r="G154" t="str">
        <f t="shared" si="133"/>
        <v>OOCL</v>
      </c>
      <c r="H154" t="str">
        <f>"PNW2"</f>
        <v>PNW2</v>
      </c>
      <c r="I154" t="str">
        <f>"068"</f>
        <v>068</v>
      </c>
      <c r="J154" t="str">
        <f>"S"</f>
        <v>S</v>
      </c>
      <c r="K154" t="str">
        <f>"4"</f>
        <v>4</v>
      </c>
      <c r="L154" t="str">
        <f t="shared" ref="L154:L167" si="162">"HKG02"</f>
        <v>HKG02</v>
      </c>
      <c r="M154" t="str">
        <f t="shared" ref="M154:M167" si="163">"HIT - Hongkong International Terminals"</f>
        <v>HIT - Hongkong International Terminals</v>
      </c>
      <c r="N154" t="str">
        <f t="shared" si="134"/>
        <v>HKG</v>
      </c>
      <c r="O154" t="str">
        <f t="shared" si="142"/>
        <v>1</v>
      </c>
      <c r="P154" t="str">
        <f>"VRDQ5"</f>
        <v>VRDQ5</v>
      </c>
      <c r="Q154" t="str">
        <f>"068S"</f>
        <v>068S</v>
      </c>
      <c r="R154" t="str">
        <f>"069N"</f>
        <v>069N</v>
      </c>
      <c r="S154" t="str">
        <f>"CHT"</f>
        <v>CHT</v>
      </c>
      <c r="T154" t="str">
        <f>"30 Jul 2019 22:00"</f>
        <v>30 Jul 2019 22:00</v>
      </c>
      <c r="U154" t="str">
        <f>"31 Jul 2019 22:00"</f>
        <v>31 Jul 2019 22:00</v>
      </c>
      <c r="V154" t="str">
        <f>"24h"</f>
        <v>24h</v>
      </c>
      <c r="W154" t="str">
        <f>"30 Jul 2019 22:00"</f>
        <v>30 Jul 2019 22:00</v>
      </c>
      <c r="X154" t="str">
        <f>"31 Jul 2019 01:05"</f>
        <v>31 Jul 2019 01:05</v>
      </c>
      <c r="Y154" t="str">
        <f>"31 Jul 2019 19:30"</f>
        <v>31 Jul 2019 19:30</v>
      </c>
      <c r="Z154" t="str">
        <f>"31 Jul 2019 13:23"</f>
        <v>31 Jul 2019 13:23</v>
      </c>
      <c r="AA154" t="str">
        <f>"12h 17m"</f>
        <v>12h 17m</v>
      </c>
      <c r="AB154" t="str">
        <f t="shared" si="135"/>
        <v>NN</v>
      </c>
      <c r="AC154" t="str">
        <f>"AA"</f>
        <v>AA</v>
      </c>
      <c r="AD154" t="str">
        <f>"3"</f>
        <v>3</v>
      </c>
      <c r="AE154" t="str">
        <f>"-9"</f>
        <v>-9</v>
      </c>
      <c r="AF154" t="str">
        <f t="shared" ref="AF154:AJ155" si="164">"31 Jul 2019 23:00"</f>
        <v>31 Jul 2019 23:00</v>
      </c>
      <c r="AG154" t="str">
        <f t="shared" si="164"/>
        <v>31 Jul 2019 23:00</v>
      </c>
      <c r="AH154" t="str">
        <f t="shared" si="164"/>
        <v>31 Jul 2019 23:00</v>
      </c>
      <c r="AI154" t="str">
        <f t="shared" si="164"/>
        <v>31 Jul 2019 23:00</v>
      </c>
      <c r="AJ154" t="str">
        <f t="shared" si="164"/>
        <v>31 Jul 2019 23:00</v>
      </c>
      <c r="AK154" t="str">
        <f t="shared" ref="AK154:AP155" si="165">"29 Jul 2019 23:00"</f>
        <v>29 Jul 2019 23:00</v>
      </c>
      <c r="AL154" t="str">
        <f t="shared" si="165"/>
        <v>29 Jul 2019 23:00</v>
      </c>
      <c r="AM154" t="str">
        <f t="shared" si="165"/>
        <v>29 Jul 2019 23:00</v>
      </c>
      <c r="AN154" t="str">
        <f t="shared" si="165"/>
        <v>29 Jul 2019 23:00</v>
      </c>
      <c r="AO154" t="str">
        <f t="shared" si="165"/>
        <v>29 Jul 2019 23:00</v>
      </c>
      <c r="AP154" t="str">
        <f t="shared" si="165"/>
        <v>29 Jul 2019 23:00</v>
      </c>
      <c r="AQ154" t="str">
        <f>"31 Jul 2019 13:23"</f>
        <v>31 Jul 2019 13:23</v>
      </c>
      <c r="AR154" t="str">
        <f t="shared" si="148"/>
        <v>Y</v>
      </c>
      <c r="AS154" t="str">
        <f t="shared" si="148"/>
        <v>Y</v>
      </c>
      <c r="AT154" t="str">
        <f t="shared" si="148"/>
        <v>Y</v>
      </c>
      <c r="AU154" t="str">
        <f t="shared" si="151"/>
        <v>N</v>
      </c>
      <c r="AV154" t="str">
        <f t="shared" si="151"/>
        <v>N</v>
      </c>
      <c r="AW154" t="str">
        <f>""</f>
        <v/>
      </c>
      <c r="AX154" t="str">
        <f t="shared" si="136"/>
        <v>No</v>
      </c>
      <c r="AY154" t="str">
        <f>""</f>
        <v/>
      </c>
      <c r="AZ154" t="s">
        <v>12</v>
      </c>
      <c r="BA154" t="s">
        <v>110</v>
      </c>
      <c r="BB154" t="s">
        <v>110</v>
      </c>
    </row>
    <row r="155" spans="1:54">
      <c r="A155" s="7" t="str">
        <f t="shared" si="137"/>
        <v>PNW4CSO069N</v>
      </c>
      <c r="B155" s="8">
        <f t="shared" si="138"/>
        <v>43675.958333333336</v>
      </c>
      <c r="C155" t="str">
        <f>"PNW4"</f>
        <v>PNW4</v>
      </c>
      <c r="D155" t="str">
        <f>"CSO"</f>
        <v>CSO</v>
      </c>
      <c r="E155" t="str">
        <f>"COSCO OCEANIA"</f>
        <v>COSCO OCEANIA</v>
      </c>
      <c r="F155" t="str">
        <f>"COSCO"</f>
        <v>COSCO</v>
      </c>
      <c r="G155" t="str">
        <f t="shared" si="133"/>
        <v>OOCL</v>
      </c>
      <c r="H155" t="str">
        <f>"PNW2"</f>
        <v>PNW2</v>
      </c>
      <c r="I155" t="str">
        <f>"069"</f>
        <v>069</v>
      </c>
      <c r="J155" t="str">
        <f>"N"</f>
        <v>N</v>
      </c>
      <c r="K155" t="str">
        <f>"1"</f>
        <v>1</v>
      </c>
      <c r="L155" t="str">
        <f t="shared" si="162"/>
        <v>HKG02</v>
      </c>
      <c r="M155" t="str">
        <f t="shared" si="163"/>
        <v>HIT - Hongkong International Terminals</v>
      </c>
      <c r="N155" t="str">
        <f t="shared" si="134"/>
        <v>HKG</v>
      </c>
      <c r="O155" t="str">
        <f t="shared" si="142"/>
        <v>1</v>
      </c>
      <c r="P155" t="str">
        <f>"VRDQ5"</f>
        <v>VRDQ5</v>
      </c>
      <c r="Q155" t="str">
        <f>"068S"</f>
        <v>068S</v>
      </c>
      <c r="R155" t="str">
        <f>"069N"</f>
        <v>069N</v>
      </c>
      <c r="S155" t="str">
        <f>"CHT"</f>
        <v>CHT</v>
      </c>
      <c r="T155" t="str">
        <f>"30 Jul 2019 22:00"</f>
        <v>30 Jul 2019 22:00</v>
      </c>
      <c r="U155" t="str">
        <f>"31 Jul 2019 22:00"</f>
        <v>31 Jul 2019 22:00</v>
      </c>
      <c r="V155" t="str">
        <f>"24h"</f>
        <v>24h</v>
      </c>
      <c r="W155" t="str">
        <f>"30 Jul 2019 22:00"</f>
        <v>30 Jul 2019 22:00</v>
      </c>
      <c r="X155" t="str">
        <f>"31 Jul 2019 01:05"</f>
        <v>31 Jul 2019 01:05</v>
      </c>
      <c r="Y155" t="str">
        <f>"31 Jul 2019 19:30"</f>
        <v>31 Jul 2019 19:30</v>
      </c>
      <c r="Z155" t="str">
        <f>"31 Jul 2019 13:23"</f>
        <v>31 Jul 2019 13:23</v>
      </c>
      <c r="AA155" t="str">
        <f>"12h 17m"</f>
        <v>12h 17m</v>
      </c>
      <c r="AB155" t="str">
        <f t="shared" si="135"/>
        <v>NN</v>
      </c>
      <c r="AC155" t="str">
        <f>"AA"</f>
        <v>AA</v>
      </c>
      <c r="AD155" t="str">
        <f>"3"</f>
        <v>3</v>
      </c>
      <c r="AE155" t="str">
        <f>"-9"</f>
        <v>-9</v>
      </c>
      <c r="AF155" t="str">
        <f t="shared" si="164"/>
        <v>31 Jul 2019 23:00</v>
      </c>
      <c r="AG155" t="str">
        <f t="shared" si="164"/>
        <v>31 Jul 2019 23:00</v>
      </c>
      <c r="AH155" t="str">
        <f t="shared" si="164"/>
        <v>31 Jul 2019 23:00</v>
      </c>
      <c r="AI155" t="str">
        <f t="shared" si="164"/>
        <v>31 Jul 2019 23:00</v>
      </c>
      <c r="AJ155" t="str">
        <f t="shared" si="164"/>
        <v>31 Jul 2019 23:00</v>
      </c>
      <c r="AK155" t="str">
        <f t="shared" si="165"/>
        <v>29 Jul 2019 23:00</v>
      </c>
      <c r="AL155" t="str">
        <f t="shared" si="165"/>
        <v>29 Jul 2019 23:00</v>
      </c>
      <c r="AM155" t="str">
        <f t="shared" si="165"/>
        <v>29 Jul 2019 23:00</v>
      </c>
      <c r="AN155" t="str">
        <f t="shared" si="165"/>
        <v>29 Jul 2019 23:00</v>
      </c>
      <c r="AO155" t="str">
        <f t="shared" si="165"/>
        <v>29 Jul 2019 23:00</v>
      </c>
      <c r="AP155" t="str">
        <f t="shared" si="165"/>
        <v>29 Jul 2019 23:00</v>
      </c>
      <c r="AQ155" t="str">
        <f>"31 Jul 2019 13:23"</f>
        <v>31 Jul 2019 13:23</v>
      </c>
      <c r="AR155" t="str">
        <f t="shared" si="148"/>
        <v>Y</v>
      </c>
      <c r="AS155" t="str">
        <f t="shared" si="148"/>
        <v>Y</v>
      </c>
      <c r="AT155" t="str">
        <f t="shared" si="148"/>
        <v>Y</v>
      </c>
      <c r="AU155" t="str">
        <f t="shared" si="151"/>
        <v>N</v>
      </c>
      <c r="AV155" t="str">
        <f t="shared" si="151"/>
        <v>N</v>
      </c>
      <c r="AW155" t="str">
        <f>""</f>
        <v/>
      </c>
      <c r="AX155" t="str">
        <f t="shared" si="136"/>
        <v>No</v>
      </c>
      <c r="AY155" t="str">
        <f>""</f>
        <v/>
      </c>
      <c r="AZ155" t="s">
        <v>12</v>
      </c>
      <c r="BA155" t="s">
        <v>110</v>
      </c>
      <c r="BB155" t="s">
        <v>110</v>
      </c>
    </row>
    <row r="156" spans="1:54">
      <c r="A156" s="7" t="str">
        <f t="shared" si="137"/>
        <v>PPHI5TG180W</v>
      </c>
      <c r="B156" s="8" t="e">
        <f t="shared" si="138"/>
        <v>#VALUE!</v>
      </c>
      <c r="C156" t="str">
        <f>"PPHI"</f>
        <v>PPHI</v>
      </c>
      <c r="D156" t="str">
        <f>"5TG"</f>
        <v>5TG</v>
      </c>
      <c r="E156" t="str">
        <f>"KOTA HIDAYAH"</f>
        <v>KOTA HIDAYAH</v>
      </c>
      <c r="F156" t="str">
        <f>"PIL"</f>
        <v>PIL</v>
      </c>
      <c r="G156" t="str">
        <f t="shared" si="133"/>
        <v>OOCL</v>
      </c>
      <c r="H156" t="str">
        <f>""</f>
        <v/>
      </c>
      <c r="I156" t="str">
        <f>"180"</f>
        <v>180</v>
      </c>
      <c r="J156" t="str">
        <f>"W"</f>
        <v>W</v>
      </c>
      <c r="K156" t="str">
        <f>"2"</f>
        <v>2</v>
      </c>
      <c r="L156" t="str">
        <f t="shared" si="162"/>
        <v>HKG02</v>
      </c>
      <c r="M156" t="str">
        <f t="shared" si="163"/>
        <v>HIT - Hongkong International Terminals</v>
      </c>
      <c r="N156" t="str">
        <f t="shared" si="134"/>
        <v>HKG</v>
      </c>
      <c r="O156" t="str">
        <f t="shared" si="142"/>
        <v>1</v>
      </c>
      <c r="P156" t="str">
        <f>"9VAL4"</f>
        <v>9VAL4</v>
      </c>
      <c r="Q156" t="str">
        <f>"180W"</f>
        <v>180W</v>
      </c>
      <c r="R156" t="str">
        <f>"180W"</f>
        <v>180W</v>
      </c>
      <c r="S156" t="str">
        <f>""</f>
        <v/>
      </c>
      <c r="T156" t="str">
        <f>"31 Jul 2019 02:00"</f>
        <v>31 Jul 2019 02:00</v>
      </c>
      <c r="U156" t="str">
        <f>"31 Jul 2019 23:00"</f>
        <v>31 Jul 2019 23:00</v>
      </c>
      <c r="V156" t="str">
        <f>"21h"</f>
        <v>21h</v>
      </c>
      <c r="W156" t="str">
        <f>"31 Jul 2019 08:00"</f>
        <v>31 Jul 2019 08:00</v>
      </c>
      <c r="X156" t="str">
        <f>"31 Jul 2019 09:20"</f>
        <v>31 Jul 2019 09:20</v>
      </c>
      <c r="Y156" t="str">
        <f>"31 Jul 2019 23:00"</f>
        <v>31 Jul 2019 23:00</v>
      </c>
      <c r="Z156" t="str">
        <f>"31 Jul 2019 14:30"</f>
        <v>31 Jul 2019 14:30</v>
      </c>
      <c r="AA156" t="str">
        <f>"5h 10m"</f>
        <v>5h 10m</v>
      </c>
      <c r="AB156" t="str">
        <f t="shared" si="135"/>
        <v>NN</v>
      </c>
      <c r="AC156" t="str">
        <f>"AA"</f>
        <v>AA</v>
      </c>
      <c r="AD156" t="str">
        <f>"7"</f>
        <v>7</v>
      </c>
      <c r="AE156" t="str">
        <f>"-8"</f>
        <v>-8</v>
      </c>
      <c r="AF156" t="str">
        <f>"01 Aug 2019 08:00"</f>
        <v>01 Aug 2019 08:00</v>
      </c>
      <c r="AG156" t="str">
        <f>"01 Aug 2019 08:00"</f>
        <v>01 Aug 2019 08:00</v>
      </c>
      <c r="AH156" t="str">
        <f>"01 Aug 2019 08:00"</f>
        <v>01 Aug 2019 08:00</v>
      </c>
      <c r="AI156" t="str">
        <f>"01 Aug 2019 08:00"</f>
        <v>01 Aug 2019 08:00</v>
      </c>
      <c r="AJ156" t="str">
        <f>"01 Aug 2019 08:00"</f>
        <v>01 Aug 2019 08:00</v>
      </c>
      <c r="AK156" t="str">
        <f>"31 Jul 2019 02:00"</f>
        <v>31 Jul 2019 02:00</v>
      </c>
      <c r="AL156" t="str">
        <f>"31 Jul 2019 02:00"</f>
        <v>31 Jul 2019 02:00</v>
      </c>
      <c r="AM156" t="str">
        <f>"31 Jul 2019 02:00"</f>
        <v>31 Jul 2019 02:00</v>
      </c>
      <c r="AN156" t="str">
        <f>"31 Jul 2019 02:00"</f>
        <v>31 Jul 2019 02:00</v>
      </c>
      <c r="AO156" t="str">
        <f>"31 Jul 2019 02:00"</f>
        <v>31 Jul 2019 02:00</v>
      </c>
      <c r="AP156" t="str">
        <f>""</f>
        <v/>
      </c>
      <c r="AQ156" t="str">
        <f>"31 Jul 2019 14:30"</f>
        <v>31 Jul 2019 14:30</v>
      </c>
      <c r="AR156" t="str">
        <f t="shared" si="148"/>
        <v>Y</v>
      </c>
      <c r="AS156" t="str">
        <f t="shared" si="148"/>
        <v>Y</v>
      </c>
      <c r="AT156" t="str">
        <f t="shared" si="148"/>
        <v>Y</v>
      </c>
      <c r="AU156" t="str">
        <f t="shared" si="151"/>
        <v>N</v>
      </c>
      <c r="AV156" t="str">
        <f t="shared" si="151"/>
        <v>N</v>
      </c>
      <c r="AW156" t="str">
        <f>""</f>
        <v/>
      </c>
      <c r="AX156" t="str">
        <f t="shared" si="136"/>
        <v>No</v>
      </c>
      <c r="AY156" t="str">
        <f>""</f>
        <v/>
      </c>
      <c r="AZ156" t="s">
        <v>12</v>
      </c>
      <c r="BA156" t="s">
        <v>110</v>
      </c>
      <c r="BB156" t="s">
        <v>110</v>
      </c>
    </row>
    <row r="157" spans="1:54">
      <c r="A157" s="7" t="str">
        <f t="shared" si="137"/>
        <v>SEAPCCF0TU8DS1MA</v>
      </c>
      <c r="B157" s="8">
        <f t="shared" si="138"/>
        <v>43675.708333333336</v>
      </c>
      <c r="C157" t="str">
        <f>"SEAP"</f>
        <v>SEAP</v>
      </c>
      <c r="D157" t="str">
        <f>"CCF"</f>
        <v>CCF</v>
      </c>
      <c r="E157" t="str">
        <f>"CMA CGM FIDELIO"</f>
        <v>CMA CGM FIDELIO</v>
      </c>
      <c r="F157" t="str">
        <f>"CMA CGM"</f>
        <v>CMA CGM</v>
      </c>
      <c r="G157" t="str">
        <f t="shared" si="133"/>
        <v>OOCL</v>
      </c>
      <c r="H157" t="str">
        <f>"PSW3,USEC3"</f>
        <v>PSW3,USEC3</v>
      </c>
      <c r="I157" t="str">
        <f>"451"</f>
        <v>451</v>
      </c>
      <c r="J157" t="str">
        <f>"W"</f>
        <v>W</v>
      </c>
      <c r="K157" t="str">
        <f>"3"</f>
        <v>3</v>
      </c>
      <c r="L157" t="str">
        <f t="shared" si="162"/>
        <v>HKG02</v>
      </c>
      <c r="M157" t="str">
        <f t="shared" si="163"/>
        <v>HIT - Hongkong International Terminals</v>
      </c>
      <c r="N157" t="str">
        <f t="shared" si="134"/>
        <v>HKG</v>
      </c>
      <c r="O157" t="str">
        <f t="shared" si="142"/>
        <v>1</v>
      </c>
      <c r="P157" t="str">
        <f>"FMFS"</f>
        <v>FMFS</v>
      </c>
      <c r="Q157" t="str">
        <f>"0TU6GW1MA"</f>
        <v>0TU6GW1MA</v>
      </c>
      <c r="R157" t="str">
        <f>"0TU8DS1MA"</f>
        <v>0TU8DS1MA</v>
      </c>
      <c r="S157" t="str">
        <f>"ACT"</f>
        <v>ACT</v>
      </c>
      <c r="T157" t="str">
        <f>"30 Jul 2019 08:00"</f>
        <v>30 Jul 2019 08:00</v>
      </c>
      <c r="U157" t="str">
        <f>"31 Jul 2019 03:00"</f>
        <v>31 Jul 2019 03:00</v>
      </c>
      <c r="V157" t="str">
        <f>"19h"</f>
        <v>19h</v>
      </c>
      <c r="W157" t="str">
        <f>"30 Jul 2019 08:00"</f>
        <v>30 Jul 2019 08:00</v>
      </c>
      <c r="X157" t="str">
        <f>"30 Jul 2019 07:47"</f>
        <v>30 Jul 2019 07:47</v>
      </c>
      <c r="Y157" t="str">
        <f>"31 Jul 2019 03:00"</f>
        <v>31 Jul 2019 03:00</v>
      </c>
      <c r="Z157" t="str">
        <f>"31 Jul 2019 02:48"</f>
        <v>31 Jul 2019 02:48</v>
      </c>
      <c r="AA157" t="str">
        <f>"19h"</f>
        <v>19h</v>
      </c>
      <c r="AB157" t="str">
        <f t="shared" si="135"/>
        <v>NN</v>
      </c>
      <c r="AC157" t="str">
        <f>"AA"</f>
        <v>AA</v>
      </c>
      <c r="AD157" t="str">
        <f>"0"</f>
        <v>0</v>
      </c>
      <c r="AE157" t="str">
        <f>"0"</f>
        <v>0</v>
      </c>
      <c r="AF157" t="str">
        <f t="shared" ref="AF157:AJ158" si="166">"31 Jul 2019 08:00"</f>
        <v>31 Jul 2019 08:00</v>
      </c>
      <c r="AG157" t="str">
        <f t="shared" si="166"/>
        <v>31 Jul 2019 08:00</v>
      </c>
      <c r="AH157" t="str">
        <f t="shared" si="166"/>
        <v>31 Jul 2019 08:00</v>
      </c>
      <c r="AI157" t="str">
        <f t="shared" si="166"/>
        <v>31 Jul 2019 08:00</v>
      </c>
      <c r="AJ157" t="str">
        <f t="shared" si="166"/>
        <v>31 Jul 2019 08:00</v>
      </c>
      <c r="AK157" t="str">
        <f t="shared" ref="AK157:AP158" si="167">"29 Jul 2019 17:00"</f>
        <v>29 Jul 2019 17:00</v>
      </c>
      <c r="AL157" t="str">
        <f t="shared" si="167"/>
        <v>29 Jul 2019 17:00</v>
      </c>
      <c r="AM157" t="str">
        <f t="shared" si="167"/>
        <v>29 Jul 2019 17:00</v>
      </c>
      <c r="AN157" t="str">
        <f t="shared" si="167"/>
        <v>29 Jul 2019 17:00</v>
      </c>
      <c r="AO157" t="str">
        <f t="shared" si="167"/>
        <v>29 Jul 2019 17:00</v>
      </c>
      <c r="AP157" t="str">
        <f t="shared" si="167"/>
        <v>29 Jul 2019 17:00</v>
      </c>
      <c r="AQ157" t="str">
        <f>"31 Jul 2019 02:48"</f>
        <v>31 Jul 2019 02:48</v>
      </c>
      <c r="AR157" t="str">
        <f t="shared" si="148"/>
        <v>Y</v>
      </c>
      <c r="AS157" t="str">
        <f t="shared" si="148"/>
        <v>Y</v>
      </c>
      <c r="AT157" t="str">
        <f t="shared" si="148"/>
        <v>Y</v>
      </c>
      <c r="AU157" t="str">
        <f t="shared" si="151"/>
        <v>N</v>
      </c>
      <c r="AV157" t="str">
        <f t="shared" si="151"/>
        <v>N</v>
      </c>
      <c r="AW157" t="str">
        <f>""</f>
        <v/>
      </c>
      <c r="AX157" t="str">
        <f t="shared" si="136"/>
        <v>No</v>
      </c>
      <c r="AY157" t="str">
        <f>""</f>
        <v/>
      </c>
      <c r="AZ157" t="s">
        <v>12</v>
      </c>
      <c r="BA157" t="s">
        <v>110</v>
      </c>
      <c r="BB157" t="s">
        <v>110</v>
      </c>
    </row>
    <row r="158" spans="1:54">
      <c r="A158" s="7" t="str">
        <f t="shared" si="137"/>
        <v>SEAPCCF0TU8DS1MA</v>
      </c>
      <c r="B158" s="8">
        <f t="shared" si="138"/>
        <v>43675.708333333336</v>
      </c>
      <c r="C158" t="str">
        <f>"SEAP"</f>
        <v>SEAP</v>
      </c>
      <c r="D158" t="str">
        <f>"CCF"</f>
        <v>CCF</v>
      </c>
      <c r="E158" t="str">
        <f>"CMA CGM FIDELIO"</f>
        <v>CMA CGM FIDELIO</v>
      </c>
      <c r="F158" t="str">
        <f>"CMA CGM"</f>
        <v>CMA CGM</v>
      </c>
      <c r="G158" t="str">
        <f t="shared" si="133"/>
        <v>OOCL</v>
      </c>
      <c r="H158" t="str">
        <f>"PSW3,USEC3"</f>
        <v>PSW3,USEC3</v>
      </c>
      <c r="I158" t="str">
        <f>"452"</f>
        <v>452</v>
      </c>
      <c r="J158" t="str">
        <f>"S"</f>
        <v>S</v>
      </c>
      <c r="K158" t="str">
        <f>"1"</f>
        <v>1</v>
      </c>
      <c r="L158" t="str">
        <f t="shared" si="162"/>
        <v>HKG02</v>
      </c>
      <c r="M158" t="str">
        <f t="shared" si="163"/>
        <v>HIT - Hongkong International Terminals</v>
      </c>
      <c r="N158" t="str">
        <f t="shared" si="134"/>
        <v>HKG</v>
      </c>
      <c r="O158" t="str">
        <f t="shared" si="142"/>
        <v>1</v>
      </c>
      <c r="P158" t="str">
        <f>"FMFS"</f>
        <v>FMFS</v>
      </c>
      <c r="Q158" t="str">
        <f>"0TU6GW1MA"</f>
        <v>0TU6GW1MA</v>
      </c>
      <c r="R158" t="str">
        <f>"0TU8DS1MA"</f>
        <v>0TU8DS1MA</v>
      </c>
      <c r="S158" t="str">
        <f>"ACT"</f>
        <v>ACT</v>
      </c>
      <c r="T158" t="str">
        <f>"30 Jul 2019 08:00"</f>
        <v>30 Jul 2019 08:00</v>
      </c>
      <c r="U158" t="str">
        <f>"31 Jul 2019 03:00"</f>
        <v>31 Jul 2019 03:00</v>
      </c>
      <c r="V158" t="str">
        <f>"19h"</f>
        <v>19h</v>
      </c>
      <c r="W158" t="str">
        <f>"30 Jul 2019 08:00"</f>
        <v>30 Jul 2019 08:00</v>
      </c>
      <c r="X158" t="str">
        <f>"30 Jul 2019 07:47"</f>
        <v>30 Jul 2019 07:47</v>
      </c>
      <c r="Y158" t="str">
        <f>"31 Jul 2019 03:00"</f>
        <v>31 Jul 2019 03:00</v>
      </c>
      <c r="Z158" t="str">
        <f>"31 Jul 2019 02:48"</f>
        <v>31 Jul 2019 02:48</v>
      </c>
      <c r="AA158" t="str">
        <f>"19h"</f>
        <v>19h</v>
      </c>
      <c r="AB158" t="str">
        <f t="shared" si="135"/>
        <v>NN</v>
      </c>
      <c r="AC158" t="str">
        <f>"AA"</f>
        <v>AA</v>
      </c>
      <c r="AD158" t="str">
        <f>"0"</f>
        <v>0</v>
      </c>
      <c r="AE158" t="str">
        <f>"0"</f>
        <v>0</v>
      </c>
      <c r="AF158" t="str">
        <f t="shared" si="166"/>
        <v>31 Jul 2019 08:00</v>
      </c>
      <c r="AG158" t="str">
        <f t="shared" si="166"/>
        <v>31 Jul 2019 08:00</v>
      </c>
      <c r="AH158" t="str">
        <f t="shared" si="166"/>
        <v>31 Jul 2019 08:00</v>
      </c>
      <c r="AI158" t="str">
        <f t="shared" si="166"/>
        <v>31 Jul 2019 08:00</v>
      </c>
      <c r="AJ158" t="str">
        <f t="shared" si="166"/>
        <v>31 Jul 2019 08:00</v>
      </c>
      <c r="AK158" t="str">
        <f t="shared" si="167"/>
        <v>29 Jul 2019 17:00</v>
      </c>
      <c r="AL158" t="str">
        <f t="shared" si="167"/>
        <v>29 Jul 2019 17:00</v>
      </c>
      <c r="AM158" t="str">
        <f t="shared" si="167"/>
        <v>29 Jul 2019 17:00</v>
      </c>
      <c r="AN158" t="str">
        <f t="shared" si="167"/>
        <v>29 Jul 2019 17:00</v>
      </c>
      <c r="AO158" t="str">
        <f t="shared" si="167"/>
        <v>29 Jul 2019 17:00</v>
      </c>
      <c r="AP158" t="str">
        <f t="shared" si="167"/>
        <v>29 Jul 2019 17:00</v>
      </c>
      <c r="AQ158" t="str">
        <f>"31 Jul 2019 02:48"</f>
        <v>31 Jul 2019 02:48</v>
      </c>
      <c r="AR158" t="str">
        <f t="shared" ref="AR158:AT179" si="168">"Y"</f>
        <v>Y</v>
      </c>
      <c r="AS158" t="str">
        <f t="shared" si="168"/>
        <v>Y</v>
      </c>
      <c r="AT158" t="str">
        <f t="shared" si="168"/>
        <v>Y</v>
      </c>
      <c r="AU158" t="str">
        <f t="shared" si="151"/>
        <v>N</v>
      </c>
      <c r="AV158" t="str">
        <f t="shared" si="151"/>
        <v>N</v>
      </c>
      <c r="AW158" t="str">
        <f>""</f>
        <v/>
      </c>
      <c r="AX158" t="str">
        <f t="shared" si="136"/>
        <v>No</v>
      </c>
      <c r="AY158" t="str">
        <f>""</f>
        <v/>
      </c>
      <c r="AZ158" t="s">
        <v>12</v>
      </c>
      <c r="BA158" t="s">
        <v>110</v>
      </c>
      <c r="BB158" t="s">
        <v>110</v>
      </c>
    </row>
    <row r="159" spans="1:54">
      <c r="A159" s="7" t="str">
        <f t="shared" si="137"/>
        <v>THXLIC064A</v>
      </c>
      <c r="B159" s="8">
        <f t="shared" si="138"/>
        <v>43677.958333333336</v>
      </c>
      <c r="C159" t="str">
        <f>"THX"</f>
        <v>THX</v>
      </c>
      <c r="D159" t="str">
        <f>"LIC"</f>
        <v>LIC</v>
      </c>
      <c r="E159" t="str">
        <f>"AMALIA C"</f>
        <v>AMALIA C</v>
      </c>
      <c r="F159" t="str">
        <f>"YML"</f>
        <v>YML</v>
      </c>
      <c r="G159" t="str">
        <f t="shared" si="133"/>
        <v>OOCL</v>
      </c>
      <c r="H159" t="str">
        <f>""</f>
        <v/>
      </c>
      <c r="I159" t="str">
        <f>"064"</f>
        <v>064</v>
      </c>
      <c r="J159" t="str">
        <f>"W"</f>
        <v>W</v>
      </c>
      <c r="K159" t="str">
        <f>"3"</f>
        <v>3</v>
      </c>
      <c r="L159" t="str">
        <f t="shared" si="162"/>
        <v>HKG02</v>
      </c>
      <c r="M159" t="str">
        <f t="shared" si="163"/>
        <v>HIT - Hongkong International Terminals</v>
      </c>
      <c r="N159" t="str">
        <f t="shared" si="134"/>
        <v>HKG</v>
      </c>
      <c r="O159" t="str">
        <f t="shared" si="142"/>
        <v>1</v>
      </c>
      <c r="P159" t="str">
        <f>"9HA3333"</f>
        <v>9HA3333</v>
      </c>
      <c r="Q159" t="str">
        <f>"064A"</f>
        <v>064A</v>
      </c>
      <c r="R159" t="str">
        <f>"064A"</f>
        <v>064A</v>
      </c>
      <c r="S159" t="str">
        <f>""</f>
        <v/>
      </c>
      <c r="T159" t="str">
        <f>"01 Aug 2019 08:00"</f>
        <v>01 Aug 2019 08:00</v>
      </c>
      <c r="U159" t="str">
        <f>"02 Aug 2019 05:00"</f>
        <v>02 Aug 2019 05:00</v>
      </c>
      <c r="V159" t="str">
        <f>"21h"</f>
        <v>21h</v>
      </c>
      <c r="W159" t="str">
        <f>"01 Aug 2019 16:00"</f>
        <v>01 Aug 2019 16:00</v>
      </c>
      <c r="X159" t="str">
        <f>""</f>
        <v/>
      </c>
      <c r="Y159" t="str">
        <f>"02 Aug 2019 04:00"</f>
        <v>02 Aug 2019 04:00</v>
      </c>
      <c r="Z159" t="str">
        <f>""</f>
        <v/>
      </c>
      <c r="AA159" t="str">
        <f>""</f>
        <v/>
      </c>
      <c r="AB159" t="str">
        <f t="shared" si="135"/>
        <v>NN</v>
      </c>
      <c r="AC159" t="str">
        <f>"CC"</f>
        <v>CC</v>
      </c>
      <c r="AD159" t="str">
        <f>"8"</f>
        <v>8</v>
      </c>
      <c r="AE159" t="str">
        <f>"-1"</f>
        <v>-1</v>
      </c>
      <c r="AF159" t="str">
        <f>"02 Aug 2019 16:00"</f>
        <v>02 Aug 2019 16:00</v>
      </c>
      <c r="AG159" t="str">
        <f>"02 Aug 2019 16:00"</f>
        <v>02 Aug 2019 16:00</v>
      </c>
      <c r="AH159" t="str">
        <f>"02 Aug 2019 16:00"</f>
        <v>02 Aug 2019 16:00</v>
      </c>
      <c r="AI159" t="str">
        <f>"02 Aug 2019 16:00"</f>
        <v>02 Aug 2019 16:00</v>
      </c>
      <c r="AJ159" t="str">
        <f>"02 Aug 2019 16:00"</f>
        <v>02 Aug 2019 16:00</v>
      </c>
      <c r="AK159" t="str">
        <f t="shared" ref="AK159:AP159" si="169">"31 Jul 2019 23:00"</f>
        <v>31 Jul 2019 23:00</v>
      </c>
      <c r="AL159" t="str">
        <f t="shared" si="169"/>
        <v>31 Jul 2019 23:00</v>
      </c>
      <c r="AM159" t="str">
        <f t="shared" si="169"/>
        <v>31 Jul 2019 23:00</v>
      </c>
      <c r="AN159" t="str">
        <f t="shared" si="169"/>
        <v>31 Jul 2019 23:00</v>
      </c>
      <c r="AO159" t="str">
        <f t="shared" si="169"/>
        <v>31 Jul 2019 23:00</v>
      </c>
      <c r="AP159" t="str">
        <f t="shared" si="169"/>
        <v>31 Jul 2019 23:00</v>
      </c>
      <c r="AQ159" t="str">
        <f>"02 Aug 2019 04:00"</f>
        <v>02 Aug 2019 04:00</v>
      </c>
      <c r="AR159" t="str">
        <f t="shared" si="168"/>
        <v>Y</v>
      </c>
      <c r="AS159" t="str">
        <f t="shared" si="168"/>
        <v>Y</v>
      </c>
      <c r="AT159" t="str">
        <f t="shared" si="168"/>
        <v>Y</v>
      </c>
      <c r="AU159" t="str">
        <f t="shared" si="151"/>
        <v>N</v>
      </c>
      <c r="AV159" t="str">
        <f t="shared" si="151"/>
        <v>N</v>
      </c>
      <c r="AW159" t="str">
        <f>""</f>
        <v/>
      </c>
      <c r="AX159" t="str">
        <f t="shared" si="136"/>
        <v>No</v>
      </c>
      <c r="AY159" t="str">
        <f>""</f>
        <v/>
      </c>
      <c r="AZ159" t="s">
        <v>12</v>
      </c>
      <c r="BA159" t="s">
        <v>110</v>
      </c>
      <c r="BB159" t="s">
        <v>110</v>
      </c>
    </row>
    <row r="160" spans="1:54">
      <c r="A160" s="7" t="str">
        <f t="shared" si="137"/>
        <v>TLA1TOI0AA3EE1MA</v>
      </c>
      <c r="B160" s="8">
        <f t="shared" si="138"/>
        <v>43674.625</v>
      </c>
      <c r="C160" t="str">
        <f>"TLA1"</f>
        <v>TLA1</v>
      </c>
      <c r="D160" t="str">
        <f>"TOI"</f>
        <v>TOI</v>
      </c>
      <c r="E160" t="str">
        <f>"CMA CGM CARL ANTOINE"</f>
        <v>CMA CGM CARL ANTOINE</v>
      </c>
      <c r="F160" t="str">
        <f>"CMA CGM"</f>
        <v>CMA CGM</v>
      </c>
      <c r="G160" t="str">
        <f t="shared" si="133"/>
        <v>OOCL</v>
      </c>
      <c r="H160" t="str">
        <f>""</f>
        <v/>
      </c>
      <c r="I160" t="str">
        <f>"010"</f>
        <v>010</v>
      </c>
      <c r="J160" t="str">
        <f>"E"</f>
        <v>E</v>
      </c>
      <c r="K160" t="str">
        <f>"8"</f>
        <v>8</v>
      </c>
      <c r="L160" t="str">
        <f t="shared" si="162"/>
        <v>HKG02</v>
      </c>
      <c r="M160" t="str">
        <f t="shared" si="163"/>
        <v>HIT - Hongkong International Terminals</v>
      </c>
      <c r="N160" t="str">
        <f t="shared" si="134"/>
        <v>HKG</v>
      </c>
      <c r="O160" t="str">
        <f t="shared" si="142"/>
        <v>1</v>
      </c>
      <c r="P160" t="str">
        <f>"9HA4484"</f>
        <v>9HA4484</v>
      </c>
      <c r="Q160" t="str">
        <f>"0AA3EE1MA"</f>
        <v>0AA3EE1MA</v>
      </c>
      <c r="R160" t="str">
        <f>"0AA3EE1MA"</f>
        <v>0AA3EE1MA</v>
      </c>
      <c r="S160" t="str">
        <f>""</f>
        <v/>
      </c>
      <c r="T160" t="str">
        <f>"30 Jul 2019 10:00"</f>
        <v>30 Jul 2019 10:00</v>
      </c>
      <c r="U160" t="str">
        <f>"31 Jul 2019 02:00"</f>
        <v>31 Jul 2019 02:00</v>
      </c>
      <c r="V160" t="str">
        <f>"16h"</f>
        <v>16h</v>
      </c>
      <c r="W160" t="str">
        <f>"30 Jul 2019 16:00"</f>
        <v>30 Jul 2019 16:00</v>
      </c>
      <c r="X160" t="str">
        <f>"30 Jul 2019 15:50"</f>
        <v>30 Jul 2019 15:50</v>
      </c>
      <c r="Y160" t="str">
        <f>"31 Jul 2019 12:30"</f>
        <v>31 Jul 2019 12:30</v>
      </c>
      <c r="Z160" t="str">
        <f>"31 Jul 2019 13:06"</f>
        <v>31 Jul 2019 13:06</v>
      </c>
      <c r="AA160" t="str">
        <f>"21h 16m"</f>
        <v>21h 16m</v>
      </c>
      <c r="AB160" t="str">
        <f t="shared" si="135"/>
        <v>NN</v>
      </c>
      <c r="AC160" t="str">
        <f>"AA"</f>
        <v>AA</v>
      </c>
      <c r="AD160" t="str">
        <f>"6"</f>
        <v>6</v>
      </c>
      <c r="AE160" t="str">
        <f>"11"</f>
        <v>11</v>
      </c>
      <c r="AF160" t="str">
        <f>"01 Aug 2019 16:00"</f>
        <v>01 Aug 2019 16:00</v>
      </c>
      <c r="AG160" t="str">
        <f>"01 Aug 2019 16:00"</f>
        <v>01 Aug 2019 16:00</v>
      </c>
      <c r="AH160" t="str">
        <f>"01 Aug 2019 16:00"</f>
        <v>01 Aug 2019 16:00</v>
      </c>
      <c r="AI160" t="str">
        <f>"01 Aug 2019 16:00"</f>
        <v>01 Aug 2019 16:00</v>
      </c>
      <c r="AJ160" t="str">
        <f>"01 Aug 2019 16:00"</f>
        <v>01 Aug 2019 16:00</v>
      </c>
      <c r="AK160" t="str">
        <f>"28 Jul 2019 17:00"</f>
        <v>28 Jul 2019 17:00</v>
      </c>
      <c r="AL160" t="str">
        <f>"28 Jul 2019 17:00"</f>
        <v>28 Jul 2019 17:00</v>
      </c>
      <c r="AM160" t="str">
        <f>"28 Jul 2019 17:00"</f>
        <v>28 Jul 2019 17:00</v>
      </c>
      <c r="AN160" t="str">
        <f>"28 Jul 2019 17:00"</f>
        <v>28 Jul 2019 17:00</v>
      </c>
      <c r="AO160" t="str">
        <f>"28 Jul 2019 17:00"</f>
        <v>28 Jul 2019 17:00</v>
      </c>
      <c r="AP160" t="str">
        <f>"28 Jul 2019 15:00"</f>
        <v>28 Jul 2019 15:00</v>
      </c>
      <c r="AQ160" t="str">
        <f>"31 Jul 2019 13:06"</f>
        <v>31 Jul 2019 13:06</v>
      </c>
      <c r="AR160" t="str">
        <f t="shared" si="168"/>
        <v>Y</v>
      </c>
      <c r="AS160" t="str">
        <f t="shared" si="168"/>
        <v>Y</v>
      </c>
      <c r="AT160" t="str">
        <f t="shared" si="168"/>
        <v>Y</v>
      </c>
      <c r="AU160" t="str">
        <f t="shared" si="151"/>
        <v>N</v>
      </c>
      <c r="AV160" t="str">
        <f t="shared" si="151"/>
        <v>N</v>
      </c>
      <c r="AW160" t="str">
        <f>""</f>
        <v/>
      </c>
      <c r="AX160" t="str">
        <f t="shared" si="136"/>
        <v>No</v>
      </c>
      <c r="AY160" t="str">
        <f>""</f>
        <v/>
      </c>
      <c r="AZ160" t="s">
        <v>12</v>
      </c>
      <c r="BA160" t="s">
        <v>110</v>
      </c>
      <c r="BB160" t="s">
        <v>110</v>
      </c>
    </row>
    <row r="161" spans="1:54">
      <c r="A161" s="7" t="str">
        <f t="shared" si="137"/>
        <v>TLA1VAA1340-026W</v>
      </c>
      <c r="B161" s="8">
        <f t="shared" si="138"/>
        <v>43676.708333333336</v>
      </c>
      <c r="C161" t="str">
        <f>"TLA1"</f>
        <v>TLA1</v>
      </c>
      <c r="D161" t="str">
        <f>"VAA"</f>
        <v>VAA</v>
      </c>
      <c r="E161" t="str">
        <f>"VALIANT"</f>
        <v>VALIANT</v>
      </c>
      <c r="F161" t="str">
        <f>"EMC"</f>
        <v>EMC</v>
      </c>
      <c r="G161" t="str">
        <f t="shared" si="133"/>
        <v>OOCL</v>
      </c>
      <c r="H161" t="str">
        <f>""</f>
        <v/>
      </c>
      <c r="I161" t="str">
        <f>"026"</f>
        <v>026</v>
      </c>
      <c r="J161" t="str">
        <f>"W"</f>
        <v>W</v>
      </c>
      <c r="K161" t="str">
        <f>"4"</f>
        <v>4</v>
      </c>
      <c r="L161" t="str">
        <f t="shared" si="162"/>
        <v>HKG02</v>
      </c>
      <c r="M161" t="str">
        <f t="shared" si="163"/>
        <v>HIT - Hongkong International Terminals</v>
      </c>
      <c r="N161" t="str">
        <f t="shared" si="134"/>
        <v>HKG</v>
      </c>
      <c r="O161" t="str">
        <f t="shared" si="142"/>
        <v>1</v>
      </c>
      <c r="P161" t="str">
        <f>"9HA3391"</f>
        <v>9HA3391</v>
      </c>
      <c r="Q161" t="str">
        <f>"1340-026W"</f>
        <v>1340-026W</v>
      </c>
      <c r="R161" t="str">
        <f>"1340-026W"</f>
        <v>1340-026W</v>
      </c>
      <c r="S161" t="str">
        <f>""</f>
        <v/>
      </c>
      <c r="T161" t="str">
        <f>"31 Jul 2019 21:00"</f>
        <v>31 Jul 2019 21:00</v>
      </c>
      <c r="U161" t="str">
        <f>"01 Aug 2019 15:00"</f>
        <v>01 Aug 2019 15:00</v>
      </c>
      <c r="V161" t="str">
        <f>"18h"</f>
        <v>18h</v>
      </c>
      <c r="W161" t="str">
        <f>"01 Aug 2019 16:00"</f>
        <v>01 Aug 2019 16:00</v>
      </c>
      <c r="X161" t="str">
        <f>""</f>
        <v/>
      </c>
      <c r="Y161" t="str">
        <f>"02 Aug 2019 09:00"</f>
        <v>02 Aug 2019 09:00</v>
      </c>
      <c r="Z161" t="str">
        <f>""</f>
        <v/>
      </c>
      <c r="AA161" t="str">
        <f>""</f>
        <v/>
      </c>
      <c r="AB161" t="str">
        <f t="shared" si="135"/>
        <v>NN</v>
      </c>
      <c r="AC161" t="str">
        <f>"CC"</f>
        <v>CC</v>
      </c>
      <c r="AD161" t="str">
        <f>"19"</f>
        <v>19</v>
      </c>
      <c r="AE161" t="str">
        <f>"18"</f>
        <v>18</v>
      </c>
      <c r="AF161" t="str">
        <f>"02 Aug 2019 16:00"</f>
        <v>02 Aug 2019 16:00</v>
      </c>
      <c r="AG161" t="str">
        <f>"02 Aug 2019 16:00"</f>
        <v>02 Aug 2019 16:00</v>
      </c>
      <c r="AH161" t="str">
        <f>"02 Aug 2019 16:00"</f>
        <v>02 Aug 2019 16:00</v>
      </c>
      <c r="AI161" t="str">
        <f>"02 Aug 2019 16:00"</f>
        <v>02 Aug 2019 16:00</v>
      </c>
      <c r="AJ161" t="str">
        <f>"02 Aug 2019 16:00"</f>
        <v>02 Aug 2019 16:00</v>
      </c>
      <c r="AK161" t="str">
        <f t="shared" ref="AK161:AP161" si="170">"30 Jul 2019 17:00"</f>
        <v>30 Jul 2019 17:00</v>
      </c>
      <c r="AL161" t="str">
        <f t="shared" si="170"/>
        <v>30 Jul 2019 17:00</v>
      </c>
      <c r="AM161" t="str">
        <f t="shared" si="170"/>
        <v>30 Jul 2019 17:00</v>
      </c>
      <c r="AN161" t="str">
        <f t="shared" si="170"/>
        <v>30 Jul 2019 17:00</v>
      </c>
      <c r="AO161" t="str">
        <f t="shared" si="170"/>
        <v>30 Jul 2019 17:00</v>
      </c>
      <c r="AP161" t="str">
        <f t="shared" si="170"/>
        <v>30 Jul 2019 17:00</v>
      </c>
      <c r="AQ161" t="str">
        <f>"02 Aug 2019 09:00"</f>
        <v>02 Aug 2019 09:00</v>
      </c>
      <c r="AR161" t="str">
        <f t="shared" si="168"/>
        <v>Y</v>
      </c>
      <c r="AS161" t="str">
        <f t="shared" si="168"/>
        <v>Y</v>
      </c>
      <c r="AT161" t="str">
        <f t="shared" si="168"/>
        <v>Y</v>
      </c>
      <c r="AU161" t="str">
        <f t="shared" si="151"/>
        <v>N</v>
      </c>
      <c r="AV161" t="str">
        <f t="shared" si="151"/>
        <v>N</v>
      </c>
      <c r="AW161" t="str">
        <f>"Delayed : Previous Port Delayed"</f>
        <v>Delayed : Previous Port Delayed</v>
      </c>
      <c r="AX161" t="str">
        <f t="shared" si="136"/>
        <v>No</v>
      </c>
      <c r="AY161" t="str">
        <f>""</f>
        <v/>
      </c>
      <c r="AZ161" t="s">
        <v>12</v>
      </c>
      <c r="BA161" t="s">
        <v>110</v>
      </c>
      <c r="BB161" t="s">
        <v>110</v>
      </c>
    </row>
    <row r="162" spans="1:54">
      <c r="A162" s="7" t="str">
        <f t="shared" si="137"/>
        <v>TLC1BOS0PP4DE1MA</v>
      </c>
      <c r="B162" s="8">
        <f t="shared" si="138"/>
        <v>43675.458333333336</v>
      </c>
      <c r="C162" t="str">
        <f>"TLC1"</f>
        <v>TLC1</v>
      </c>
      <c r="D162" t="str">
        <f>"BOS"</f>
        <v>BOS</v>
      </c>
      <c r="E162" t="str">
        <f>"APL BOSTON"</f>
        <v>APL BOSTON</v>
      </c>
      <c r="F162" t="str">
        <f>"CMA CGM"</f>
        <v>CMA CGM</v>
      </c>
      <c r="G162" t="str">
        <f t="shared" si="133"/>
        <v>OOCL</v>
      </c>
      <c r="H162" t="str">
        <f>""</f>
        <v/>
      </c>
      <c r="I162" t="str">
        <f>"005"</f>
        <v>005</v>
      </c>
      <c r="J162" t="str">
        <f>"E"</f>
        <v>E</v>
      </c>
      <c r="K162" t="str">
        <f>"3"</f>
        <v>3</v>
      </c>
      <c r="L162" t="str">
        <f t="shared" si="162"/>
        <v>HKG02</v>
      </c>
      <c r="M162" t="str">
        <f t="shared" si="163"/>
        <v>HIT - Hongkong International Terminals</v>
      </c>
      <c r="N162" t="str">
        <f t="shared" si="134"/>
        <v>HKG</v>
      </c>
      <c r="O162" t="str">
        <f t="shared" si="142"/>
        <v>1</v>
      </c>
      <c r="P162" t="str">
        <f>"9V9917"</f>
        <v>9V9917</v>
      </c>
      <c r="Q162" t="str">
        <f>"0PP4DE1MA"</f>
        <v>0PP4DE1MA</v>
      </c>
      <c r="R162" t="str">
        <f>"0PP4DE1MA"</f>
        <v>0PP4DE1MA</v>
      </c>
      <c r="S162" t="str">
        <f>""</f>
        <v/>
      </c>
      <c r="T162" t="str">
        <f>"30 Jul 2019 01:00"</f>
        <v>30 Jul 2019 01:00</v>
      </c>
      <c r="U162" t="str">
        <f>"30 Jul 2019 15:00"</f>
        <v>30 Jul 2019 15:00</v>
      </c>
      <c r="V162" t="str">
        <f>"14h"</f>
        <v>14h</v>
      </c>
      <c r="W162" t="str">
        <f>"02 Aug 2019 07:00"</f>
        <v>02 Aug 2019 07:00</v>
      </c>
      <c r="X162" t="str">
        <f>""</f>
        <v/>
      </c>
      <c r="Y162" t="str">
        <f>"02 Aug 2019 21:00"</f>
        <v>02 Aug 2019 21:00</v>
      </c>
      <c r="Z162" t="str">
        <f>""</f>
        <v/>
      </c>
      <c r="AA162" t="str">
        <f>""</f>
        <v/>
      </c>
      <c r="AB162" t="str">
        <f t="shared" si="135"/>
        <v>NN</v>
      </c>
      <c r="AC162" t="str">
        <f>"CC"</f>
        <v>CC</v>
      </c>
      <c r="AD162" t="str">
        <f>"78"</f>
        <v>78</v>
      </c>
      <c r="AE162" t="str">
        <f>"78"</f>
        <v>78</v>
      </c>
      <c r="AF162" t="str">
        <f>"03 Aug 2019 07:00"</f>
        <v>03 Aug 2019 07:00</v>
      </c>
      <c r="AG162" t="str">
        <f>"03 Aug 2019 07:00"</f>
        <v>03 Aug 2019 07:00</v>
      </c>
      <c r="AH162" t="str">
        <f>"03 Aug 2019 07:00"</f>
        <v>03 Aug 2019 07:00</v>
      </c>
      <c r="AI162" t="str">
        <f>"03 Aug 2019 07:00"</f>
        <v>03 Aug 2019 07:00</v>
      </c>
      <c r="AJ162" t="str">
        <f>"03 Aug 2019 07:00"</f>
        <v>03 Aug 2019 07:00</v>
      </c>
      <c r="AK162" t="str">
        <f>"29 Jul 2019 12:00"</f>
        <v>29 Jul 2019 12:00</v>
      </c>
      <c r="AL162" t="str">
        <f>"29 Jul 2019 12:00"</f>
        <v>29 Jul 2019 12:00</v>
      </c>
      <c r="AM162" t="str">
        <f>"29 Jul 2019 12:00"</f>
        <v>29 Jul 2019 12:00</v>
      </c>
      <c r="AN162" t="str">
        <f>"29 Jul 2019 12:00"</f>
        <v>29 Jul 2019 12:00</v>
      </c>
      <c r="AO162" t="str">
        <f>"29 Jul 2019 12:00"</f>
        <v>29 Jul 2019 12:00</v>
      </c>
      <c r="AP162" t="str">
        <f>"29 Jul 2019 11:00"</f>
        <v>29 Jul 2019 11:00</v>
      </c>
      <c r="AQ162" t="str">
        <f>"02 Aug 2019 21:00"</f>
        <v>02 Aug 2019 21:00</v>
      </c>
      <c r="AR162" t="str">
        <f t="shared" si="168"/>
        <v>Y</v>
      </c>
      <c r="AS162" t="str">
        <f t="shared" si="168"/>
        <v>Y</v>
      </c>
      <c r="AT162" t="str">
        <f t="shared" si="168"/>
        <v>Y</v>
      </c>
      <c r="AU162" t="str">
        <f t="shared" ref="AU162:AV177" si="171">"N"</f>
        <v>N</v>
      </c>
      <c r="AV162" t="str">
        <f t="shared" si="171"/>
        <v>N</v>
      </c>
      <c r="AW162" t="str">
        <f>""</f>
        <v/>
      </c>
      <c r="AX162" t="str">
        <f t="shared" si="136"/>
        <v>No</v>
      </c>
      <c r="AY162" t="str">
        <f>"APL BOSTON (BOS)-005E/W will phase in TLC1 at SIN"</f>
        <v>APL BOSTON (BOS)-005E/W will phase in TLC1 at SIN</v>
      </c>
      <c r="AZ162" t="s">
        <v>12</v>
      </c>
      <c r="BA162" t="s">
        <v>110</v>
      </c>
      <c r="BB162" t="s">
        <v>110</v>
      </c>
    </row>
    <row r="163" spans="1:54">
      <c r="A163" s="7" t="str">
        <f t="shared" si="137"/>
        <v>TLP2MMK0JX37E1PL</v>
      </c>
      <c r="B163" s="8">
        <f t="shared" si="138"/>
        <v>43678.5</v>
      </c>
      <c r="C163" t="str">
        <f>"TLP2"</f>
        <v>TLP2</v>
      </c>
      <c r="D163" t="str">
        <f>"MMK"</f>
        <v>MMK</v>
      </c>
      <c r="E163" t="str">
        <f>"CMA CGM MEKONG"</f>
        <v>CMA CGM MEKONG</v>
      </c>
      <c r="F163" t="str">
        <f>"APL"</f>
        <v>APL</v>
      </c>
      <c r="G163" t="str">
        <f t="shared" si="133"/>
        <v>OOCL</v>
      </c>
      <c r="H163" t="str">
        <f>""</f>
        <v/>
      </c>
      <c r="I163" t="str">
        <f>"020"</f>
        <v>020</v>
      </c>
      <c r="J163" t="str">
        <f>"E"</f>
        <v>E</v>
      </c>
      <c r="K163" t="str">
        <f>"2"</f>
        <v>2</v>
      </c>
      <c r="L163" t="str">
        <f t="shared" si="162"/>
        <v>HKG02</v>
      </c>
      <c r="M163" t="str">
        <f t="shared" si="163"/>
        <v>HIT - Hongkong International Terminals</v>
      </c>
      <c r="N163" t="str">
        <f t="shared" si="134"/>
        <v>HKG</v>
      </c>
      <c r="O163" t="str">
        <f t="shared" si="142"/>
        <v>1</v>
      </c>
      <c r="P163" t="str">
        <f>"OXZT2"</f>
        <v>OXZT2</v>
      </c>
      <c r="Q163" t="str">
        <f>"0JX37E1PL"</f>
        <v>0JX37E1PL</v>
      </c>
      <c r="R163" t="str">
        <f>"0JX37E1PL"</f>
        <v>0JX37E1PL</v>
      </c>
      <c r="S163" t="str">
        <f>""</f>
        <v/>
      </c>
      <c r="T163" t="str">
        <f>"02 Aug 2019 04:00"</f>
        <v>02 Aug 2019 04:00</v>
      </c>
      <c r="U163" t="str">
        <f>"03 Aug 2019 01:00"</f>
        <v>03 Aug 2019 01:00</v>
      </c>
      <c r="V163" t="str">
        <f>"21h"</f>
        <v>21h</v>
      </c>
      <c r="W163" t="str">
        <f>"02 Aug 2019 04:00"</f>
        <v>02 Aug 2019 04:00</v>
      </c>
      <c r="X163" t="str">
        <f>""</f>
        <v/>
      </c>
      <c r="Y163" t="str">
        <f>"03 Aug 2019 01:00"</f>
        <v>03 Aug 2019 01:00</v>
      </c>
      <c r="Z163" t="str">
        <f>""</f>
        <v/>
      </c>
      <c r="AA163" t="str">
        <f>""</f>
        <v/>
      </c>
      <c r="AB163" t="str">
        <f t="shared" si="135"/>
        <v>NN</v>
      </c>
      <c r="AC163" t="str">
        <f>"LL"</f>
        <v>LL</v>
      </c>
      <c r="AD163" t="str">
        <f>"0"</f>
        <v>0</v>
      </c>
      <c r="AE163" t="str">
        <f>"0"</f>
        <v>0</v>
      </c>
      <c r="AF163" t="str">
        <f>"03 Aug 2019 02:00"</f>
        <v>03 Aug 2019 02:00</v>
      </c>
      <c r="AG163" t="str">
        <f>"03 Aug 2019 02:00"</f>
        <v>03 Aug 2019 02:00</v>
      </c>
      <c r="AH163" t="str">
        <f>"03 Aug 2019 02:00"</f>
        <v>03 Aug 2019 02:00</v>
      </c>
      <c r="AI163" t="str">
        <f>"03 Aug 2019 02:00"</f>
        <v>03 Aug 2019 02:00</v>
      </c>
      <c r="AJ163" t="str">
        <f>"03 Aug 2019 02:00"</f>
        <v>03 Aug 2019 02:00</v>
      </c>
      <c r="AK163" t="str">
        <f t="shared" ref="AK163:AP163" si="172">"01 Aug 2019 12:00"</f>
        <v>01 Aug 2019 12:00</v>
      </c>
      <c r="AL163" t="str">
        <f t="shared" si="172"/>
        <v>01 Aug 2019 12:00</v>
      </c>
      <c r="AM163" t="str">
        <f t="shared" si="172"/>
        <v>01 Aug 2019 12:00</v>
      </c>
      <c r="AN163" t="str">
        <f t="shared" si="172"/>
        <v>01 Aug 2019 12:00</v>
      </c>
      <c r="AO163" t="str">
        <f t="shared" si="172"/>
        <v>01 Aug 2019 12:00</v>
      </c>
      <c r="AP163" t="str">
        <f t="shared" si="172"/>
        <v>01 Aug 2019 12:00</v>
      </c>
      <c r="AQ163" t="str">
        <f>"03 Aug 2019 02:00"</f>
        <v>03 Aug 2019 02:00</v>
      </c>
      <c r="AR163" t="str">
        <f t="shared" si="168"/>
        <v>Y</v>
      </c>
      <c r="AS163" t="str">
        <f t="shared" si="168"/>
        <v>Y</v>
      </c>
      <c r="AT163" t="str">
        <f t="shared" si="168"/>
        <v>Y</v>
      </c>
      <c r="AU163" t="str">
        <f t="shared" si="171"/>
        <v>N</v>
      </c>
      <c r="AV163" t="str">
        <f t="shared" si="171"/>
        <v>N</v>
      </c>
      <c r="AW163" t="str">
        <f>""</f>
        <v/>
      </c>
      <c r="AX163" t="str">
        <f t="shared" si="136"/>
        <v>No</v>
      </c>
      <c r="AY163" t="str">
        <f>""</f>
        <v/>
      </c>
      <c r="AZ163" t="s">
        <v>12</v>
      </c>
      <c r="BA163" t="s">
        <v>110</v>
      </c>
      <c r="BB163" t="s">
        <v>110</v>
      </c>
    </row>
    <row r="164" spans="1:54">
      <c r="A164" s="7" t="str">
        <f t="shared" si="137"/>
        <v>VCSCLC025E</v>
      </c>
      <c r="B164" s="8">
        <f t="shared" si="138"/>
        <v>43678.958333333336</v>
      </c>
      <c r="C164" t="str">
        <f>"VCS"</f>
        <v>VCS</v>
      </c>
      <c r="D164" t="str">
        <f>"CLC"</f>
        <v>CLC</v>
      </c>
      <c r="E164" t="str">
        <f>"CSCL SUMMER"</f>
        <v>CSCL SUMMER</v>
      </c>
      <c r="F164" t="str">
        <f>"COSCO"</f>
        <v>COSCO</v>
      </c>
      <c r="G164" t="str">
        <f t="shared" si="133"/>
        <v>OOCL</v>
      </c>
      <c r="H164" t="str">
        <f>""</f>
        <v/>
      </c>
      <c r="I164" t="str">
        <f>"025"</f>
        <v>025</v>
      </c>
      <c r="J164" t="str">
        <f>"E"</f>
        <v>E</v>
      </c>
      <c r="K164" t="str">
        <f>"3"</f>
        <v>3</v>
      </c>
      <c r="L164" t="str">
        <f t="shared" si="162"/>
        <v>HKG02</v>
      </c>
      <c r="M164" t="str">
        <f t="shared" si="163"/>
        <v>HIT - Hongkong International Terminals</v>
      </c>
      <c r="N164" t="str">
        <f t="shared" si="134"/>
        <v>HKG</v>
      </c>
      <c r="O164" t="str">
        <f t="shared" si="142"/>
        <v>1</v>
      </c>
      <c r="P164" t="str">
        <f>"VRMZ7"</f>
        <v>VRMZ7</v>
      </c>
      <c r="Q164" t="str">
        <f>"025E"</f>
        <v>025E</v>
      </c>
      <c r="R164" t="str">
        <f>"025E"</f>
        <v>025E</v>
      </c>
      <c r="S164" t="str">
        <f>"CHT"</f>
        <v>CHT</v>
      </c>
      <c r="T164" t="str">
        <f>"02 Aug 2019 14:00"</f>
        <v>02 Aug 2019 14:00</v>
      </c>
      <c r="U164" t="str">
        <f>"03 Aug 2019 10:00"</f>
        <v>03 Aug 2019 10:00</v>
      </c>
      <c r="V164" t="str">
        <f>"20h"</f>
        <v>20h</v>
      </c>
      <c r="W164" t="str">
        <f>"02 Aug 2019 14:00"</f>
        <v>02 Aug 2019 14:00</v>
      </c>
      <c r="X164" t="str">
        <f>""</f>
        <v/>
      </c>
      <c r="Y164" t="str">
        <f>"03 Aug 2019 10:00"</f>
        <v>03 Aug 2019 10:00</v>
      </c>
      <c r="Z164" t="str">
        <f>""</f>
        <v/>
      </c>
      <c r="AA164" t="str">
        <f>""</f>
        <v/>
      </c>
      <c r="AB164" t="str">
        <f t="shared" si="135"/>
        <v>NN</v>
      </c>
      <c r="AC164" t="str">
        <f>"LL"</f>
        <v>LL</v>
      </c>
      <c r="AD164" t="str">
        <f>"0"</f>
        <v>0</v>
      </c>
      <c r="AE164" t="str">
        <f>"0"</f>
        <v>0</v>
      </c>
      <c r="AF164" t="str">
        <f>"03 Aug 2019 11:00"</f>
        <v>03 Aug 2019 11:00</v>
      </c>
      <c r="AG164" t="str">
        <f>"03 Aug 2019 11:00"</f>
        <v>03 Aug 2019 11:00</v>
      </c>
      <c r="AH164" t="str">
        <f>"03 Aug 2019 11:00"</f>
        <v>03 Aug 2019 11:00</v>
      </c>
      <c r="AI164" t="str">
        <f>"03 Aug 2019 11:00"</f>
        <v>03 Aug 2019 11:00</v>
      </c>
      <c r="AJ164" t="str">
        <f>"03 Aug 2019 11:00"</f>
        <v>03 Aug 2019 11:00</v>
      </c>
      <c r="AK164" t="str">
        <f t="shared" ref="AK164:AP164" si="173">"01 Aug 2019 23:00"</f>
        <v>01 Aug 2019 23:00</v>
      </c>
      <c r="AL164" t="str">
        <f t="shared" si="173"/>
        <v>01 Aug 2019 23:00</v>
      </c>
      <c r="AM164" t="str">
        <f t="shared" si="173"/>
        <v>01 Aug 2019 23:00</v>
      </c>
      <c r="AN164" t="str">
        <f t="shared" si="173"/>
        <v>01 Aug 2019 23:00</v>
      </c>
      <c r="AO164" t="str">
        <f t="shared" si="173"/>
        <v>01 Aug 2019 23:00</v>
      </c>
      <c r="AP164" t="str">
        <f t="shared" si="173"/>
        <v>01 Aug 2019 23:00</v>
      </c>
      <c r="AQ164" t="str">
        <f>"03 Aug 2019 11:00"</f>
        <v>03 Aug 2019 11:00</v>
      </c>
      <c r="AR164" t="str">
        <f t="shared" si="168"/>
        <v>Y</v>
      </c>
      <c r="AS164" t="str">
        <f t="shared" si="168"/>
        <v>Y</v>
      </c>
      <c r="AT164" t="str">
        <f t="shared" si="168"/>
        <v>Y</v>
      </c>
      <c r="AU164" t="str">
        <f t="shared" si="171"/>
        <v>N</v>
      </c>
      <c r="AV164" t="str">
        <f t="shared" si="171"/>
        <v>N</v>
      </c>
      <c r="AW164" t="str">
        <f>""</f>
        <v/>
      </c>
      <c r="AX164" t="str">
        <f t="shared" si="136"/>
        <v>No</v>
      </c>
      <c r="AY164" t="str">
        <f>""</f>
        <v/>
      </c>
      <c r="AZ164" t="s">
        <v>12</v>
      </c>
      <c r="BA164" t="s">
        <v>110</v>
      </c>
      <c r="BB164" t="s">
        <v>110</v>
      </c>
    </row>
    <row r="165" spans="1:54">
      <c r="A165" s="7" t="str">
        <f t="shared" si="137"/>
        <v>WM1TTS0397-010W</v>
      </c>
      <c r="B165" s="8">
        <f t="shared" si="138"/>
        <v>43675.958333333336</v>
      </c>
      <c r="C165" t="str">
        <f>"WM1"</f>
        <v>WM1</v>
      </c>
      <c r="D165" t="str">
        <f>"TTS"</f>
        <v>TTS</v>
      </c>
      <c r="E165" t="str">
        <f>"TEXAS TRIUMPH"</f>
        <v>TEXAS TRIUMPH</v>
      </c>
      <c r="F165" t="str">
        <f>"EMC"</f>
        <v>EMC</v>
      </c>
      <c r="G165" t="str">
        <f t="shared" si="133"/>
        <v>OOCL</v>
      </c>
      <c r="H165" t="str">
        <f>"MED1"</f>
        <v>MED1</v>
      </c>
      <c r="I165" t="str">
        <f>"010"</f>
        <v>010</v>
      </c>
      <c r="J165" t="str">
        <f>"W"</f>
        <v>W</v>
      </c>
      <c r="K165" t="str">
        <f>"5"</f>
        <v>5</v>
      </c>
      <c r="L165" t="str">
        <f t="shared" si="162"/>
        <v>HKG02</v>
      </c>
      <c r="M165" t="str">
        <f t="shared" si="163"/>
        <v>HIT - Hongkong International Terminals</v>
      </c>
      <c r="N165" t="str">
        <f t="shared" si="134"/>
        <v>HKG</v>
      </c>
      <c r="O165" t="str">
        <f t="shared" si="142"/>
        <v>1</v>
      </c>
      <c r="P165" t="str">
        <f>"3FMG7"</f>
        <v>3FMG7</v>
      </c>
      <c r="Q165" t="str">
        <f>"0397-010W"</f>
        <v>0397-010W</v>
      </c>
      <c r="R165" t="str">
        <f>"0397-010W"</f>
        <v>0397-010W</v>
      </c>
      <c r="S165" t="str">
        <f>"ACT"</f>
        <v>ACT</v>
      </c>
      <c r="T165" t="str">
        <f>"30 Jul 2019 20:00"</f>
        <v>30 Jul 2019 20:00</v>
      </c>
      <c r="U165" t="str">
        <f>"31 Jul 2019 16:00"</f>
        <v>31 Jul 2019 16:00</v>
      </c>
      <c r="V165" t="str">
        <f>"20h"</f>
        <v>20h</v>
      </c>
      <c r="W165" t="str">
        <f>"30 Jul 2019 20:00"</f>
        <v>30 Jul 2019 20:00</v>
      </c>
      <c r="X165" t="str">
        <f>"30 Jul 2019 19:16"</f>
        <v>30 Jul 2019 19:16</v>
      </c>
      <c r="Y165" t="str">
        <f>"31 Jul 2019 05:30"</f>
        <v>31 Jul 2019 05:30</v>
      </c>
      <c r="Z165" t="str">
        <f>"31 Jul 2019 06:32"</f>
        <v>31 Jul 2019 06:32</v>
      </c>
      <c r="AA165" t="str">
        <f>"11h 15m"</f>
        <v>11h 15m</v>
      </c>
      <c r="AB165" t="str">
        <f t="shared" si="135"/>
        <v>NN</v>
      </c>
      <c r="AC165" t="str">
        <f>"AA"</f>
        <v>AA</v>
      </c>
      <c r="AD165" t="str">
        <f>"-1"</f>
        <v>-1</v>
      </c>
      <c r="AE165" t="str">
        <f>"-9"</f>
        <v>-9</v>
      </c>
      <c r="AF165" t="str">
        <f>"31 Jul 2019 00:00"</f>
        <v>31 Jul 2019 00:00</v>
      </c>
      <c r="AG165" t="str">
        <f>"31 Jul 2019 00:00"</f>
        <v>31 Jul 2019 00:00</v>
      </c>
      <c r="AH165" t="str">
        <f>"31 Jul 2019 00:00"</f>
        <v>31 Jul 2019 00:00</v>
      </c>
      <c r="AI165" t="str">
        <f>"31 Jul 2019 00:00"</f>
        <v>31 Jul 2019 00:00</v>
      </c>
      <c r="AJ165" t="str">
        <f>"31 Jul 2019 00:00"</f>
        <v>31 Jul 2019 00:00</v>
      </c>
      <c r="AK165" t="str">
        <f>"30 Jul 2019 12:00"</f>
        <v>30 Jul 2019 12:00</v>
      </c>
      <c r="AL165" t="str">
        <f>"30 Jul 2019 12:00"</f>
        <v>30 Jul 2019 12:00</v>
      </c>
      <c r="AM165" t="str">
        <f>"30 Jul 2019 12:00"</f>
        <v>30 Jul 2019 12:00</v>
      </c>
      <c r="AN165" t="str">
        <f>"30 Jul 2019 12:00"</f>
        <v>30 Jul 2019 12:00</v>
      </c>
      <c r="AO165" t="str">
        <f>"30 Jul 2019 12:00"</f>
        <v>30 Jul 2019 12:00</v>
      </c>
      <c r="AP165" t="str">
        <f>"29 Jul 2019 23:00"</f>
        <v>29 Jul 2019 23:00</v>
      </c>
      <c r="AQ165" t="str">
        <f>"31 Jul 2019 06:32"</f>
        <v>31 Jul 2019 06:32</v>
      </c>
      <c r="AR165" t="str">
        <f t="shared" si="168"/>
        <v>Y</v>
      </c>
      <c r="AS165" t="str">
        <f t="shared" si="168"/>
        <v>Y</v>
      </c>
      <c r="AT165" t="str">
        <f t="shared" si="168"/>
        <v>Y</v>
      </c>
      <c r="AU165" t="str">
        <f t="shared" si="171"/>
        <v>N</v>
      </c>
      <c r="AV165" t="str">
        <f t="shared" si="171"/>
        <v>N</v>
      </c>
      <c r="AW165" t="str">
        <f>""</f>
        <v/>
      </c>
      <c r="AX165" t="str">
        <f t="shared" si="136"/>
        <v>No</v>
      </c>
      <c r="AY165" t="str">
        <f>"TTS-010W slide one week at QIN"</f>
        <v>TTS-010W slide one week at QIN</v>
      </c>
      <c r="AZ165" t="s">
        <v>12</v>
      </c>
      <c r="BA165" t="s">
        <v>110</v>
      </c>
      <c r="BB165" t="s">
        <v>110</v>
      </c>
    </row>
    <row r="166" spans="1:54">
      <c r="A166" s="7" t="str">
        <f t="shared" si="137"/>
        <v>WM1TCC060E</v>
      </c>
      <c r="B166" s="8">
        <f t="shared" si="138"/>
        <v>43677.958333333336</v>
      </c>
      <c r="C166" t="str">
        <f>"WM1"</f>
        <v>WM1</v>
      </c>
      <c r="D166" t="str">
        <f>"TCC"</f>
        <v>TCC</v>
      </c>
      <c r="E166" t="str">
        <f>"CSCL STAR"</f>
        <v>CSCL STAR</v>
      </c>
      <c r="F166" t="str">
        <f>"COSCO"</f>
        <v>COSCO</v>
      </c>
      <c r="G166" t="str">
        <f t="shared" si="133"/>
        <v>OOCL</v>
      </c>
      <c r="H166" t="str">
        <f>"MED1"</f>
        <v>MED1</v>
      </c>
      <c r="I166" t="str">
        <f>"060"</f>
        <v>060</v>
      </c>
      <c r="J166" t="str">
        <f>"E"</f>
        <v>E</v>
      </c>
      <c r="K166" t="str">
        <f>"9"</f>
        <v>9</v>
      </c>
      <c r="L166" t="str">
        <f t="shared" si="162"/>
        <v>HKG02</v>
      </c>
      <c r="M166" t="str">
        <f t="shared" si="163"/>
        <v>HIT - Hongkong International Terminals</v>
      </c>
      <c r="N166" t="str">
        <f t="shared" si="134"/>
        <v>HKG</v>
      </c>
      <c r="O166" t="str">
        <f t="shared" si="142"/>
        <v>1</v>
      </c>
      <c r="P166" t="str">
        <f>"VRHM7"</f>
        <v>VRHM7</v>
      </c>
      <c r="Q166" t="str">
        <f>"060E"</f>
        <v>060E</v>
      </c>
      <c r="R166" t="str">
        <f>"060E"</f>
        <v>060E</v>
      </c>
      <c r="S166" t="str">
        <f>"CHT"</f>
        <v>CHT</v>
      </c>
      <c r="T166" t="str">
        <f>"01 Aug 2019 22:00"</f>
        <v>01 Aug 2019 22:00</v>
      </c>
      <c r="U166" t="str">
        <f>"02 Aug 2019 18:00"</f>
        <v>02 Aug 2019 18:00</v>
      </c>
      <c r="V166" t="str">
        <f>"20h"</f>
        <v>20h</v>
      </c>
      <c r="W166" t="str">
        <f>"02 Aug 2019 15:00"</f>
        <v>02 Aug 2019 15:00</v>
      </c>
      <c r="X166" t="str">
        <f>""</f>
        <v/>
      </c>
      <c r="Y166" t="str">
        <f>"03 Aug 2019 05:00"</f>
        <v>03 Aug 2019 05:00</v>
      </c>
      <c r="Z166" t="str">
        <f>""</f>
        <v/>
      </c>
      <c r="AA166" t="str">
        <f>""</f>
        <v/>
      </c>
      <c r="AB166" t="str">
        <f t="shared" si="135"/>
        <v>NN</v>
      </c>
      <c r="AC166" t="str">
        <f>"CC"</f>
        <v>CC</v>
      </c>
      <c r="AD166" t="str">
        <f>"17"</f>
        <v>17</v>
      </c>
      <c r="AE166" t="str">
        <f>"11"</f>
        <v>11</v>
      </c>
      <c r="AF166" t="str">
        <f>"03 Aug 2019 15:00"</f>
        <v>03 Aug 2019 15:00</v>
      </c>
      <c r="AG166" t="str">
        <f>"03 Aug 2019 15:00"</f>
        <v>03 Aug 2019 15:00</v>
      </c>
      <c r="AH166" t="str">
        <f>"03 Aug 2019 15:00"</f>
        <v>03 Aug 2019 15:00</v>
      </c>
      <c r="AI166" t="str">
        <f>"03 Aug 2019 15:00"</f>
        <v>03 Aug 2019 15:00</v>
      </c>
      <c r="AJ166" t="str">
        <f>"03 Aug 2019 15:00"</f>
        <v>03 Aug 2019 15:00</v>
      </c>
      <c r="AK166" t="str">
        <f t="shared" ref="AK166:AP166" si="174">"31 Jul 2019 23:00"</f>
        <v>31 Jul 2019 23:00</v>
      </c>
      <c r="AL166" t="str">
        <f t="shared" si="174"/>
        <v>31 Jul 2019 23:00</v>
      </c>
      <c r="AM166" t="str">
        <f t="shared" si="174"/>
        <v>31 Jul 2019 23:00</v>
      </c>
      <c r="AN166" t="str">
        <f t="shared" si="174"/>
        <v>31 Jul 2019 23:00</v>
      </c>
      <c r="AO166" t="str">
        <f t="shared" si="174"/>
        <v>31 Jul 2019 23:00</v>
      </c>
      <c r="AP166" t="str">
        <f t="shared" si="174"/>
        <v>31 Jul 2019 23:00</v>
      </c>
      <c r="AQ166" t="str">
        <f>"03 Aug 2019 05:00"</f>
        <v>03 Aug 2019 05:00</v>
      </c>
      <c r="AR166" t="str">
        <f t="shared" si="168"/>
        <v>Y</v>
      </c>
      <c r="AS166" t="str">
        <f t="shared" si="168"/>
        <v>Y</v>
      </c>
      <c r="AT166" t="str">
        <f t="shared" si="168"/>
        <v>Y</v>
      </c>
      <c r="AU166" t="str">
        <f t="shared" si="171"/>
        <v>N</v>
      </c>
      <c r="AV166" t="str">
        <f t="shared" si="171"/>
        <v>N</v>
      </c>
      <c r="AW166" t="str">
        <f>"Delayed : Previous Port Delayed"</f>
        <v>Delayed : Previous Port Delayed</v>
      </c>
      <c r="AX166" t="str">
        <f t="shared" si="136"/>
        <v>No</v>
      </c>
      <c r="AY166" t="str">
        <f>""</f>
        <v/>
      </c>
      <c r="AZ166" t="s">
        <v>12</v>
      </c>
      <c r="BA166" t="s">
        <v>110</v>
      </c>
      <c r="BB166" t="s">
        <v>110</v>
      </c>
    </row>
    <row r="167" spans="1:54">
      <c r="A167" s="7" t="str">
        <f t="shared" si="137"/>
        <v>WM1TPT0388-012E</v>
      </c>
      <c r="B167" s="8">
        <f t="shared" si="138"/>
        <v>43670.958333333336</v>
      </c>
      <c r="C167" t="str">
        <f>"WM1"</f>
        <v>WM1</v>
      </c>
      <c r="D167" t="str">
        <f>"TPT"</f>
        <v>TPT</v>
      </c>
      <c r="E167" t="str">
        <f>"TAMPA TRIUMPH"</f>
        <v>TAMPA TRIUMPH</v>
      </c>
      <c r="F167" t="str">
        <f>"EMC"</f>
        <v>EMC</v>
      </c>
      <c r="G167" t="str">
        <f t="shared" si="133"/>
        <v>OOCL</v>
      </c>
      <c r="H167" t="str">
        <f>"MED1"</f>
        <v>MED1</v>
      </c>
      <c r="I167" t="str">
        <f>"012"</f>
        <v>012</v>
      </c>
      <c r="J167" t="str">
        <f>"E"</f>
        <v>E</v>
      </c>
      <c r="K167" t="str">
        <f>"9"</f>
        <v>9</v>
      </c>
      <c r="L167" t="str">
        <f t="shared" si="162"/>
        <v>HKG02</v>
      </c>
      <c r="M167" t="str">
        <f t="shared" si="163"/>
        <v>HIT - Hongkong International Terminals</v>
      </c>
      <c r="N167" t="str">
        <f t="shared" si="134"/>
        <v>HKG</v>
      </c>
      <c r="O167" t="str">
        <f t="shared" si="142"/>
        <v>1</v>
      </c>
      <c r="P167" t="str">
        <f>"3EJB3"</f>
        <v>3EJB3</v>
      </c>
      <c r="Q167" t="str">
        <f>"0388-012E"</f>
        <v>0388-012E</v>
      </c>
      <c r="R167" t="str">
        <f>"0388-012E"</f>
        <v>0388-012E</v>
      </c>
      <c r="S167" t="str">
        <f>"CHT"</f>
        <v>CHT</v>
      </c>
      <c r="T167" t="str">
        <f>"25 Jul 2019 22:00"</f>
        <v>25 Jul 2019 22:00</v>
      </c>
      <c r="U167" t="str">
        <f>"26 Jul 2019 18:00"</f>
        <v>26 Jul 2019 18:00</v>
      </c>
      <c r="V167" t="str">
        <f>"20h"</f>
        <v>20h</v>
      </c>
      <c r="W167" t="str">
        <f>"02 Aug 2019 09:00"</f>
        <v>02 Aug 2019 09:00</v>
      </c>
      <c r="X167" t="str">
        <f>""</f>
        <v/>
      </c>
      <c r="Y167" t="str">
        <f>"03 Aug 2019 15:00"</f>
        <v>03 Aug 2019 15:00</v>
      </c>
      <c r="Z167" t="str">
        <f>""</f>
        <v/>
      </c>
      <c r="AA167" t="str">
        <f>""</f>
        <v/>
      </c>
      <c r="AB167" t="str">
        <f t="shared" si="135"/>
        <v>NN</v>
      </c>
      <c r="AC167" t="str">
        <f>"CC"</f>
        <v>CC</v>
      </c>
      <c r="AD167" t="str">
        <f>"179"</f>
        <v>179</v>
      </c>
      <c r="AE167" t="str">
        <f>"189"</f>
        <v>189</v>
      </c>
      <c r="AF167" t="str">
        <f>"03 Aug 2019 09:00"</f>
        <v>03 Aug 2019 09:00</v>
      </c>
      <c r="AG167" t="str">
        <f>"03 Aug 2019 09:00"</f>
        <v>03 Aug 2019 09:00</v>
      </c>
      <c r="AH167" t="str">
        <f>"03 Aug 2019 09:00"</f>
        <v>03 Aug 2019 09:00</v>
      </c>
      <c r="AI167" t="str">
        <f>"03 Aug 2019 09:00"</f>
        <v>03 Aug 2019 09:00</v>
      </c>
      <c r="AJ167" t="str">
        <f>"03 Aug 2019 09:00"</f>
        <v>03 Aug 2019 09:00</v>
      </c>
      <c r="AK167" t="str">
        <f t="shared" ref="AK167:AP167" si="175">"24 Jul 2019 23:00"</f>
        <v>24 Jul 2019 23:00</v>
      </c>
      <c r="AL167" t="str">
        <f t="shared" si="175"/>
        <v>24 Jul 2019 23:00</v>
      </c>
      <c r="AM167" t="str">
        <f t="shared" si="175"/>
        <v>24 Jul 2019 23:00</v>
      </c>
      <c r="AN167" t="str">
        <f t="shared" si="175"/>
        <v>24 Jul 2019 23:00</v>
      </c>
      <c r="AO167" t="str">
        <f t="shared" si="175"/>
        <v>24 Jul 2019 23:00</v>
      </c>
      <c r="AP167" t="str">
        <f t="shared" si="175"/>
        <v>24 Jul 2019 23:00</v>
      </c>
      <c r="AQ167" t="str">
        <f>"03 Aug 2019 15:00"</f>
        <v>03 Aug 2019 15:00</v>
      </c>
      <c r="AR167" t="str">
        <f t="shared" si="168"/>
        <v>Y</v>
      </c>
      <c r="AS167" t="str">
        <f t="shared" si="168"/>
        <v>Y</v>
      </c>
      <c r="AT167" t="str">
        <f t="shared" si="168"/>
        <v>Y</v>
      </c>
      <c r="AU167" t="str">
        <f t="shared" si="171"/>
        <v>N</v>
      </c>
      <c r="AV167" t="str">
        <f t="shared" si="171"/>
        <v>N</v>
      </c>
      <c r="AW167" t="str">
        <f>""</f>
        <v/>
      </c>
      <c r="AX167" t="str">
        <f t="shared" si="136"/>
        <v>No</v>
      </c>
      <c r="AY167" t="str">
        <f>"TPT-012E phase out WM1 at NIN, replacement TEI-011W, P/O rotation is SIN&gt;HKG&gt;NIN"</f>
        <v>TPT-012E phase out WM1 at NIN, replacement TEI-011W, P/O rotation is SIN&gt;HKG&gt;NIN</v>
      </c>
      <c r="AZ167" t="s">
        <v>12</v>
      </c>
      <c r="BA167" t="s">
        <v>110</v>
      </c>
      <c r="BB167" t="s">
        <v>110</v>
      </c>
    </row>
    <row r="168" spans="1:54">
      <c r="A168" s="7" t="str">
        <f t="shared" si="137"/>
        <v>A3SCFI147S</v>
      </c>
      <c r="B168" s="8">
        <f t="shared" si="138"/>
        <v>43681.916666666664</v>
      </c>
      <c r="C168" t="str">
        <f>"A3S"</f>
        <v>A3S</v>
      </c>
      <c r="D168" t="str">
        <f>"CFI"</f>
        <v>CFI</v>
      </c>
      <c r="E168" t="str">
        <f>"COSCO FELIXSTOWE"</f>
        <v>COSCO FELIXSTOWE</v>
      </c>
      <c r="F168" t="str">
        <f>"COSCO"</f>
        <v>COSCO</v>
      </c>
      <c r="G168" t="str">
        <f t="shared" si="133"/>
        <v>OOCL</v>
      </c>
      <c r="H168" t="str">
        <f>""</f>
        <v/>
      </c>
      <c r="I168" t="str">
        <f>"147"</f>
        <v>147</v>
      </c>
      <c r="J168" t="str">
        <f>"S"</f>
        <v>S</v>
      </c>
      <c r="K168" t="str">
        <f>"3"</f>
        <v>3</v>
      </c>
      <c r="L168" t="str">
        <f>"HKG02"</f>
        <v>HKG02</v>
      </c>
      <c r="M168" t="str">
        <f>"HIT - Hongkong International Terminals"</f>
        <v>HIT - Hongkong International Terminals</v>
      </c>
      <c r="N168" t="str">
        <f t="shared" si="134"/>
        <v>HKG</v>
      </c>
      <c r="O168" t="str">
        <f t="shared" si="142"/>
        <v>1</v>
      </c>
      <c r="P168" t="str">
        <f>"2BOW3"</f>
        <v>2BOW3</v>
      </c>
      <c r="Q168" t="str">
        <f>"147S"</f>
        <v>147S</v>
      </c>
      <c r="R168" t="str">
        <f>"147S"</f>
        <v>147S</v>
      </c>
      <c r="S168" t="str">
        <f>"CHT"</f>
        <v>CHT</v>
      </c>
      <c r="T168" t="str">
        <f>"05 Aug 2019 12:00"</f>
        <v>05 Aug 2019 12:00</v>
      </c>
      <c r="U168" t="str">
        <f>"06 Aug 2019 08:00"</f>
        <v>06 Aug 2019 08:00</v>
      </c>
      <c r="V168" t="str">
        <f>"20h"</f>
        <v>20h</v>
      </c>
      <c r="W168" t="str">
        <f>"05 Aug 2019 12:00"</f>
        <v>05 Aug 2019 12:00</v>
      </c>
      <c r="X168" t="str">
        <f>""</f>
        <v/>
      </c>
      <c r="Y168" t="str">
        <f>"06 Aug 2019 08:00"</f>
        <v>06 Aug 2019 08:00</v>
      </c>
      <c r="Z168" t="str">
        <f>""</f>
        <v/>
      </c>
      <c r="AA168" t="str">
        <f>""</f>
        <v/>
      </c>
      <c r="AB168" t="str">
        <f t="shared" si="135"/>
        <v>NN</v>
      </c>
      <c r="AC168" t="str">
        <f>"LL"</f>
        <v>LL</v>
      </c>
      <c r="AD168" t="str">
        <f>"0"</f>
        <v>0</v>
      </c>
      <c r="AE168" t="str">
        <f>"0"</f>
        <v>0</v>
      </c>
      <c r="AF168" t="str">
        <f>"06 Aug 2019 08:00"</f>
        <v>06 Aug 2019 08:00</v>
      </c>
      <c r="AG168" t="str">
        <f>"06 Aug 2019 08:00"</f>
        <v>06 Aug 2019 08:00</v>
      </c>
      <c r="AH168" t="str">
        <f>"06 Aug 2019 08:00"</f>
        <v>06 Aug 2019 08:00</v>
      </c>
      <c r="AI168" t="str">
        <f>"06 Aug 2019 08:00"</f>
        <v>06 Aug 2019 08:00</v>
      </c>
      <c r="AJ168" t="str">
        <f>"06 Aug 2019 08:00"</f>
        <v>06 Aug 2019 08:00</v>
      </c>
      <c r="AK168" t="str">
        <f>"04 Aug 2019 23:00"</f>
        <v>04 Aug 2019 23:00</v>
      </c>
      <c r="AL168" t="str">
        <f>"04 Aug 2019 23:00"</f>
        <v>04 Aug 2019 23:00</v>
      </c>
      <c r="AM168" t="str">
        <f>"04 Aug 2019 23:00"</f>
        <v>04 Aug 2019 23:00</v>
      </c>
      <c r="AN168" t="str">
        <f>"04 Aug 2019 23:00"</f>
        <v>04 Aug 2019 23:00</v>
      </c>
      <c r="AO168" t="str">
        <f>"04 Aug 2019 23:00"</f>
        <v>04 Aug 2019 23:00</v>
      </c>
      <c r="AP168" t="str">
        <f>"04 Aug 2019 22:00"</f>
        <v>04 Aug 2019 22:00</v>
      </c>
      <c r="AQ168" t="str">
        <f>"06 Aug 2019 08:00"</f>
        <v>06 Aug 2019 08:00</v>
      </c>
      <c r="AR168" t="str">
        <f t="shared" si="168"/>
        <v>Y</v>
      </c>
      <c r="AS168" t="str">
        <f t="shared" si="168"/>
        <v>Y</v>
      </c>
      <c r="AT168" t="str">
        <f t="shared" si="168"/>
        <v>Y</v>
      </c>
      <c r="AU168" t="str">
        <f t="shared" si="171"/>
        <v>N</v>
      </c>
      <c r="AV168" t="str">
        <f t="shared" si="171"/>
        <v>N</v>
      </c>
      <c r="AW168" t="str">
        <f>""</f>
        <v/>
      </c>
      <c r="AX168" t="str">
        <f t="shared" si="136"/>
        <v>No</v>
      </c>
      <c r="AY168" t="str">
        <f>"Slide down one week at ZIA"</f>
        <v>Slide down one week at ZIA</v>
      </c>
      <c r="AZ168" t="s">
        <v>12</v>
      </c>
      <c r="BA168" t="s">
        <v>110</v>
      </c>
      <c r="BB168" t="s">
        <v>110</v>
      </c>
    </row>
    <row r="169" spans="1:54">
      <c r="A169" s="7" t="str">
        <f t="shared" si="137"/>
        <v>CHLLOA013N</v>
      </c>
      <c r="B169" s="8">
        <f t="shared" si="138"/>
        <v>43679.916666666664</v>
      </c>
      <c r="C169" t="str">
        <f>"CHL"</f>
        <v>CHL</v>
      </c>
      <c r="D169" t="str">
        <f>"LOA"</f>
        <v>LOA</v>
      </c>
      <c r="E169" t="str">
        <f>"LIOBA"</f>
        <v>LIOBA</v>
      </c>
      <c r="F169" t="str">
        <f>"YML"</f>
        <v>YML</v>
      </c>
      <c r="G169" t="str">
        <f t="shared" si="133"/>
        <v>OOCL</v>
      </c>
      <c r="H169" t="str">
        <f>""</f>
        <v/>
      </c>
      <c r="I169" t="str">
        <f>"013"</f>
        <v>013</v>
      </c>
      <c r="J169" t="str">
        <f>"N"</f>
        <v>N</v>
      </c>
      <c r="K169" t="str">
        <f>"2"</f>
        <v>2</v>
      </c>
      <c r="L169" t="str">
        <f>"HKG01"</f>
        <v>HKG01</v>
      </c>
      <c r="M169" t="str">
        <f>"Modern Terminal Limited (MTL)"</f>
        <v>Modern Terminal Limited (MTL)</v>
      </c>
      <c r="N169" t="str">
        <f t="shared" si="134"/>
        <v>HKG</v>
      </c>
      <c r="O169" t="str">
        <f t="shared" si="142"/>
        <v>1</v>
      </c>
      <c r="P169" t="str">
        <f>"CQDO"</f>
        <v>CQDO</v>
      </c>
      <c r="Q169" t="str">
        <f>"013N"</f>
        <v>013N</v>
      </c>
      <c r="R169" t="str">
        <f>"013N"</f>
        <v>013N</v>
      </c>
      <c r="S169" t="str">
        <f>""</f>
        <v/>
      </c>
      <c r="T169" t="str">
        <f>"03 Aug 2019 12:00"</f>
        <v>03 Aug 2019 12:00</v>
      </c>
      <c r="U169" t="str">
        <f>"03 Aug 2019 21:00"</f>
        <v>03 Aug 2019 21:00</v>
      </c>
      <c r="V169" t="str">
        <f>"9h"</f>
        <v>9h</v>
      </c>
      <c r="W169" t="str">
        <f>"03 Aug 2019 12:00"</f>
        <v>03 Aug 2019 12:00</v>
      </c>
      <c r="X169" t="str">
        <f>""</f>
        <v/>
      </c>
      <c r="Y169" t="str">
        <f>"03 Aug 2019 21:00"</f>
        <v>03 Aug 2019 21:00</v>
      </c>
      <c r="Z169" t="str">
        <f>""</f>
        <v/>
      </c>
      <c r="AA169" t="str">
        <f>""</f>
        <v/>
      </c>
      <c r="AB169" t="str">
        <f t="shared" si="135"/>
        <v>NN</v>
      </c>
      <c r="AC169" t="str">
        <f>"LL"</f>
        <v>LL</v>
      </c>
      <c r="AD169" t="str">
        <f>"0"</f>
        <v>0</v>
      </c>
      <c r="AE169" t="str">
        <f>"0"</f>
        <v>0</v>
      </c>
      <c r="AF169" t="str">
        <f>"03 Aug 2019 22:00"</f>
        <v>03 Aug 2019 22:00</v>
      </c>
      <c r="AG169" t="str">
        <f>"03 Aug 2019 22:00"</f>
        <v>03 Aug 2019 22:00</v>
      </c>
      <c r="AH169" t="str">
        <f>"03 Aug 2019 22:00"</f>
        <v>03 Aug 2019 22:00</v>
      </c>
      <c r="AI169" t="str">
        <f>"03 Aug 2019 22:00"</f>
        <v>03 Aug 2019 22:00</v>
      </c>
      <c r="AJ169" t="str">
        <f>"03 Aug 2019 22:00"</f>
        <v>03 Aug 2019 22:00</v>
      </c>
      <c r="AK169" t="str">
        <f>"02 Aug 2019 23:00"</f>
        <v>02 Aug 2019 23:00</v>
      </c>
      <c r="AL169" t="str">
        <f>"02 Aug 2019 23:00"</f>
        <v>02 Aug 2019 23:00</v>
      </c>
      <c r="AM169" t="str">
        <f>"02 Aug 2019 23:00"</f>
        <v>02 Aug 2019 23:00</v>
      </c>
      <c r="AN169" t="str">
        <f>"02 Aug 2019 23:00"</f>
        <v>02 Aug 2019 23:00</v>
      </c>
      <c r="AO169" t="str">
        <f>"02 Aug 2019 23:00"</f>
        <v>02 Aug 2019 23:00</v>
      </c>
      <c r="AP169" t="str">
        <f>"02 Aug 2019 22:00"</f>
        <v>02 Aug 2019 22:00</v>
      </c>
      <c r="AQ169" t="str">
        <f>"03 Aug 2019 22:00"</f>
        <v>03 Aug 2019 22:00</v>
      </c>
      <c r="AR169" t="str">
        <f t="shared" si="168"/>
        <v>Y</v>
      </c>
      <c r="AS169" t="str">
        <f t="shared" si="168"/>
        <v>Y</v>
      </c>
      <c r="AT169" t="str">
        <f t="shared" si="168"/>
        <v>Y</v>
      </c>
      <c r="AU169" t="str">
        <f t="shared" si="171"/>
        <v>N</v>
      </c>
      <c r="AV169" t="str">
        <f t="shared" si="171"/>
        <v>N</v>
      </c>
      <c r="AW169" t="str">
        <f>""</f>
        <v/>
      </c>
      <c r="AX169" t="str">
        <f t="shared" si="136"/>
        <v>No</v>
      </c>
      <c r="AY169" t="str">
        <f>""</f>
        <v/>
      </c>
      <c r="AZ169" t="s">
        <v>12</v>
      </c>
      <c r="BA169" t="s">
        <v>110</v>
      </c>
      <c r="BB169" t="s">
        <v>110</v>
      </c>
    </row>
    <row r="170" spans="1:54">
      <c r="A170" s="7" t="str">
        <f t="shared" si="137"/>
        <v>CHLLOB094S</v>
      </c>
      <c r="B170" s="8">
        <f t="shared" si="138"/>
        <v>43678.916666666664</v>
      </c>
      <c r="C170" t="str">
        <f>"CHL"</f>
        <v>CHL</v>
      </c>
      <c r="D170" t="str">
        <f>"LOB"</f>
        <v>LOB</v>
      </c>
      <c r="E170" t="str">
        <f>"LOBIVIA"</f>
        <v>LOBIVIA</v>
      </c>
      <c r="F170" t="str">
        <f>"RCL"</f>
        <v>RCL</v>
      </c>
      <c r="G170" t="str">
        <f t="shared" si="133"/>
        <v>OOCL</v>
      </c>
      <c r="H170" t="str">
        <f>""</f>
        <v/>
      </c>
      <c r="I170" t="str">
        <f>"094"</f>
        <v>094</v>
      </c>
      <c r="J170" t="str">
        <f>"S"</f>
        <v>S</v>
      </c>
      <c r="K170" t="str">
        <f>"4"</f>
        <v>4</v>
      </c>
      <c r="L170" t="str">
        <f>"HKG01"</f>
        <v>HKG01</v>
      </c>
      <c r="M170" t="str">
        <f>"Modern Terminal Limited (MTL)"</f>
        <v>Modern Terminal Limited (MTL)</v>
      </c>
      <c r="N170" t="str">
        <f t="shared" si="134"/>
        <v>HKG</v>
      </c>
      <c r="O170" t="str">
        <f t="shared" si="142"/>
        <v>1</v>
      </c>
      <c r="P170" t="str">
        <f>"ELZC7"</f>
        <v>ELZC7</v>
      </c>
      <c r="Q170" t="str">
        <f>"094S"</f>
        <v>094S</v>
      </c>
      <c r="R170" t="str">
        <f>"094S"</f>
        <v>094S</v>
      </c>
      <c r="S170" t="str">
        <f>""</f>
        <v/>
      </c>
      <c r="T170" t="str">
        <f>"02 Aug 2019 12:00"</f>
        <v>02 Aug 2019 12:00</v>
      </c>
      <c r="U170" t="str">
        <f>"03 Aug 2019 00:00"</f>
        <v>03 Aug 2019 00:00</v>
      </c>
      <c r="V170" t="str">
        <f>"12h"</f>
        <v>12h</v>
      </c>
      <c r="W170" t="str">
        <f>"05 Aug 2019 08:00"</f>
        <v>05 Aug 2019 08:00</v>
      </c>
      <c r="X170" t="str">
        <f>""</f>
        <v/>
      </c>
      <c r="Y170" t="str">
        <f>"05 Aug 2019 15:00"</f>
        <v>05 Aug 2019 15:00</v>
      </c>
      <c r="Z170" t="str">
        <f>""</f>
        <v/>
      </c>
      <c r="AA170" t="str">
        <f>""</f>
        <v/>
      </c>
      <c r="AB170" t="str">
        <f t="shared" si="135"/>
        <v>NN</v>
      </c>
      <c r="AC170" t="str">
        <f>"CC"</f>
        <v>CC</v>
      </c>
      <c r="AD170" t="str">
        <f>"68"</f>
        <v>68</v>
      </c>
      <c r="AE170" t="str">
        <f>"63"</f>
        <v>63</v>
      </c>
      <c r="AF170" t="str">
        <f>"06 Aug 2019 08:00"</f>
        <v>06 Aug 2019 08:00</v>
      </c>
      <c r="AG170" t="str">
        <f>"06 Aug 2019 08:00"</f>
        <v>06 Aug 2019 08:00</v>
      </c>
      <c r="AH170" t="str">
        <f>"06 Aug 2019 08:00"</f>
        <v>06 Aug 2019 08:00</v>
      </c>
      <c r="AI170" t="str">
        <f>"06 Aug 2019 08:00"</f>
        <v>06 Aug 2019 08:00</v>
      </c>
      <c r="AJ170" t="str">
        <f>"06 Aug 2019 08:00"</f>
        <v>06 Aug 2019 08:00</v>
      </c>
      <c r="AK170" t="str">
        <f>"01 Aug 2019 23:00"</f>
        <v>01 Aug 2019 23:00</v>
      </c>
      <c r="AL170" t="str">
        <f>"01 Aug 2019 23:00"</f>
        <v>01 Aug 2019 23:00</v>
      </c>
      <c r="AM170" t="str">
        <f>"01 Aug 2019 23:00"</f>
        <v>01 Aug 2019 23:00</v>
      </c>
      <c r="AN170" t="str">
        <f>"01 Aug 2019 23:00"</f>
        <v>01 Aug 2019 23:00</v>
      </c>
      <c r="AO170" t="str">
        <f>"01 Aug 2019 23:00"</f>
        <v>01 Aug 2019 23:00</v>
      </c>
      <c r="AP170" t="str">
        <f>"01 Aug 2019 22:00"</f>
        <v>01 Aug 2019 22:00</v>
      </c>
      <c r="AQ170" t="str">
        <f>"05 Aug 2019 15:00"</f>
        <v>05 Aug 2019 15:00</v>
      </c>
      <c r="AR170" t="str">
        <f t="shared" si="168"/>
        <v>Y</v>
      </c>
      <c r="AS170" t="str">
        <f t="shared" si="168"/>
        <v>Y</v>
      </c>
      <c r="AT170" t="str">
        <f t="shared" si="168"/>
        <v>Y</v>
      </c>
      <c r="AU170" t="str">
        <f t="shared" si="171"/>
        <v>N</v>
      </c>
      <c r="AV170" t="str">
        <f t="shared" si="171"/>
        <v>N</v>
      </c>
      <c r="AW170" t="str">
        <f>"Delayed : Previous Port Delayed"</f>
        <v>Delayed : Previous Port Delayed</v>
      </c>
      <c r="AX170" t="str">
        <f t="shared" si="136"/>
        <v>No</v>
      </c>
      <c r="AY170" t="str">
        <f>"phase out and redelivery, replaced by SBH"</f>
        <v>phase out and redelivery, replaced by SBH</v>
      </c>
      <c r="AZ170" t="s">
        <v>12</v>
      </c>
      <c r="BA170" t="s">
        <v>110</v>
      </c>
      <c r="BB170" t="s">
        <v>110</v>
      </c>
    </row>
    <row r="171" spans="1:54">
      <c r="A171" s="7" t="str">
        <f t="shared" si="137"/>
        <v>CHL2CCD068N</v>
      </c>
      <c r="B171" s="8">
        <f t="shared" si="138"/>
        <v>43682.708333333336</v>
      </c>
      <c r="C171" t="str">
        <f>"CHL2"</f>
        <v>CHL2</v>
      </c>
      <c r="D171" t="str">
        <f>"CCD"</f>
        <v>CCD</v>
      </c>
      <c r="E171" t="str">
        <f>"COSCO ADEN"</f>
        <v>COSCO ADEN</v>
      </c>
      <c r="F171" t="str">
        <f>"COSCO"</f>
        <v>COSCO</v>
      </c>
      <c r="G171" t="str">
        <f t="shared" si="133"/>
        <v>OOCL</v>
      </c>
      <c r="H171" t="str">
        <f>""</f>
        <v/>
      </c>
      <c r="I171" t="str">
        <f>"068"</f>
        <v>068</v>
      </c>
      <c r="J171" t="str">
        <f>"N"</f>
        <v>N</v>
      </c>
      <c r="K171" t="str">
        <f>"2"</f>
        <v>2</v>
      </c>
      <c r="L171" t="str">
        <f>"HKG02"</f>
        <v>HKG02</v>
      </c>
      <c r="M171" t="str">
        <f>"HIT - Hongkong International Terminals"</f>
        <v>HIT - Hongkong International Terminals</v>
      </c>
      <c r="N171" t="str">
        <f t="shared" si="134"/>
        <v>HKG</v>
      </c>
      <c r="O171" t="str">
        <f t="shared" si="142"/>
        <v>1</v>
      </c>
      <c r="P171" t="str">
        <f>"VRKF9"</f>
        <v>VRKF9</v>
      </c>
      <c r="Q171" t="str">
        <f>"068N"</f>
        <v>068N</v>
      </c>
      <c r="R171" t="str">
        <f>"068N"</f>
        <v>068N</v>
      </c>
      <c r="S171" t="str">
        <f>"CHT"</f>
        <v>CHT</v>
      </c>
      <c r="T171" t="str">
        <f>"06 Aug 2019 07:00"</f>
        <v>06 Aug 2019 07:00</v>
      </c>
      <c r="U171" t="str">
        <f>"06 Aug 2019 17:00"</f>
        <v>06 Aug 2019 17:00</v>
      </c>
      <c r="V171" t="str">
        <f>"10h"</f>
        <v>10h</v>
      </c>
      <c r="W171" t="str">
        <f>"06 Aug 2019 07:00"</f>
        <v>06 Aug 2019 07:00</v>
      </c>
      <c r="X171" t="str">
        <f>""</f>
        <v/>
      </c>
      <c r="Y171" t="str">
        <f>"06 Aug 2019 17:00"</f>
        <v>06 Aug 2019 17:00</v>
      </c>
      <c r="Z171" t="str">
        <f>""</f>
        <v/>
      </c>
      <c r="AA171" t="str">
        <f>""</f>
        <v/>
      </c>
      <c r="AB171" t="str">
        <f t="shared" si="135"/>
        <v>NN</v>
      </c>
      <c r="AC171" t="str">
        <f>"LL"</f>
        <v>LL</v>
      </c>
      <c r="AD171" t="str">
        <f t="shared" ref="AD171:AE175" si="176">"0"</f>
        <v>0</v>
      </c>
      <c r="AE171" t="str">
        <f t="shared" si="176"/>
        <v>0</v>
      </c>
      <c r="AF171" t="str">
        <f>"07 Aug 2019 07:00"</f>
        <v>07 Aug 2019 07:00</v>
      </c>
      <c r="AG171" t="str">
        <f>"07 Aug 2019 07:00"</f>
        <v>07 Aug 2019 07:00</v>
      </c>
      <c r="AH171" t="str">
        <f>"07 Aug 2019 07:00"</f>
        <v>07 Aug 2019 07:00</v>
      </c>
      <c r="AI171" t="str">
        <f>"07 Aug 2019 07:00"</f>
        <v>07 Aug 2019 07:00</v>
      </c>
      <c r="AJ171" t="str">
        <f>"07 Aug 2019 07:00"</f>
        <v>07 Aug 2019 07:00</v>
      </c>
      <c r="AK171" t="str">
        <f>"05 Aug 2019 23:00"</f>
        <v>05 Aug 2019 23:00</v>
      </c>
      <c r="AL171" t="str">
        <f>"05 Aug 2019 23:00"</f>
        <v>05 Aug 2019 23:00</v>
      </c>
      <c r="AM171" t="str">
        <f>"05 Aug 2019 23:00"</f>
        <v>05 Aug 2019 23:00</v>
      </c>
      <c r="AN171" t="str">
        <f>"05 Aug 2019 23:00"</f>
        <v>05 Aug 2019 23:00</v>
      </c>
      <c r="AO171" t="str">
        <f>"05 Aug 2019 23:00"</f>
        <v>05 Aug 2019 23:00</v>
      </c>
      <c r="AP171" t="str">
        <f>"05 Aug 2019 17:00"</f>
        <v>05 Aug 2019 17:00</v>
      </c>
      <c r="AQ171" t="str">
        <f>"07 Aug 2019 07:00"</f>
        <v>07 Aug 2019 07:00</v>
      </c>
      <c r="AR171" t="str">
        <f t="shared" si="168"/>
        <v>Y</v>
      </c>
      <c r="AS171" t="str">
        <f t="shared" si="168"/>
        <v>Y</v>
      </c>
      <c r="AT171" t="str">
        <f t="shared" si="168"/>
        <v>Y</v>
      </c>
      <c r="AU171" t="str">
        <f t="shared" si="171"/>
        <v>N</v>
      </c>
      <c r="AV171" t="str">
        <f t="shared" si="171"/>
        <v>N</v>
      </c>
      <c r="AW171" t="str">
        <f>""</f>
        <v/>
      </c>
      <c r="AX171" t="str">
        <f t="shared" si="136"/>
        <v>No</v>
      </c>
      <c r="AY171" t="str">
        <f>""</f>
        <v/>
      </c>
      <c r="AZ171" t="s">
        <v>12</v>
      </c>
      <c r="BA171" t="s">
        <v>110</v>
      </c>
      <c r="BB171" t="s">
        <v>110</v>
      </c>
    </row>
    <row r="172" spans="1:54">
      <c r="A172" s="7" t="str">
        <f t="shared" si="137"/>
        <v>CHL3IMB032N</v>
      </c>
      <c r="B172" s="8">
        <f t="shared" si="138"/>
        <v>43681.958333333336</v>
      </c>
      <c r="C172" t="str">
        <f>"CHL3"</f>
        <v>CHL3</v>
      </c>
      <c r="D172" t="str">
        <f>"IMB"</f>
        <v>IMB</v>
      </c>
      <c r="E172" t="str">
        <f>"CIMBRIA"</f>
        <v>CIMBRIA</v>
      </c>
      <c r="F172" t="str">
        <f>"OOCL"</f>
        <v>OOCL</v>
      </c>
      <c r="G172" t="str">
        <f t="shared" si="133"/>
        <v>OOCL</v>
      </c>
      <c r="H172" t="str">
        <f>""</f>
        <v/>
      </c>
      <c r="I172" t="str">
        <f>"032"</f>
        <v>032</v>
      </c>
      <c r="J172" t="str">
        <f>"N"</f>
        <v>N</v>
      </c>
      <c r="K172" t="str">
        <f>"3"</f>
        <v>3</v>
      </c>
      <c r="L172" t="str">
        <f>"HKG25"</f>
        <v>HKG25</v>
      </c>
      <c r="M172" t="str">
        <f>"Hongkong Internatonal Terminals Ltd."</f>
        <v>Hongkong Internatonal Terminals Ltd.</v>
      </c>
      <c r="N172" t="str">
        <f t="shared" si="134"/>
        <v>HKG</v>
      </c>
      <c r="O172" t="str">
        <f t="shared" si="142"/>
        <v>1</v>
      </c>
      <c r="P172" t="str">
        <f>"A8HJ4"</f>
        <v>A8HJ4</v>
      </c>
      <c r="Q172" t="str">
        <f>"032N"</f>
        <v>032N</v>
      </c>
      <c r="R172" t="str">
        <f>"032N"</f>
        <v>032N</v>
      </c>
      <c r="S172" t="str">
        <f>""</f>
        <v/>
      </c>
      <c r="T172" t="str">
        <f>"05 Aug 2019 18:00"</f>
        <v>05 Aug 2019 18:00</v>
      </c>
      <c r="U172" t="str">
        <f>"06 Aug 2019 03:00"</f>
        <v>06 Aug 2019 03:00</v>
      </c>
      <c r="V172" t="str">
        <f>"9h"</f>
        <v>9h</v>
      </c>
      <c r="W172" t="str">
        <f>"05 Aug 2019 18:00"</f>
        <v>05 Aug 2019 18:00</v>
      </c>
      <c r="X172" t="str">
        <f>""</f>
        <v/>
      </c>
      <c r="Y172" t="str">
        <f>"06 Aug 2019 03:00"</f>
        <v>06 Aug 2019 03:00</v>
      </c>
      <c r="Z172" t="str">
        <f>""</f>
        <v/>
      </c>
      <c r="AA172" t="str">
        <f>""</f>
        <v/>
      </c>
      <c r="AB172" t="str">
        <f t="shared" si="135"/>
        <v>NN</v>
      </c>
      <c r="AC172" t="str">
        <f>"LL"</f>
        <v>LL</v>
      </c>
      <c r="AD172" t="str">
        <f t="shared" si="176"/>
        <v>0</v>
      </c>
      <c r="AE172" t="str">
        <f t="shared" si="176"/>
        <v>0</v>
      </c>
      <c r="AF172" t="str">
        <f>"06 Aug 2019 18:00"</f>
        <v>06 Aug 2019 18:00</v>
      </c>
      <c r="AG172" t="str">
        <f>"06 Aug 2019 18:00"</f>
        <v>06 Aug 2019 18:00</v>
      </c>
      <c r="AH172" t="str">
        <f>"06 Aug 2019 18:00"</f>
        <v>06 Aug 2019 18:00</v>
      </c>
      <c r="AI172" t="str">
        <f>"06 Aug 2019 18:00"</f>
        <v>06 Aug 2019 18:00</v>
      </c>
      <c r="AJ172" t="str">
        <f>"06 Aug 2019 18:00"</f>
        <v>06 Aug 2019 18:00</v>
      </c>
      <c r="AK172" t="str">
        <f t="shared" ref="AK172:AP172" si="177">"04 Aug 2019 23:00"</f>
        <v>04 Aug 2019 23:00</v>
      </c>
      <c r="AL172" t="str">
        <f t="shared" si="177"/>
        <v>04 Aug 2019 23:00</v>
      </c>
      <c r="AM172" t="str">
        <f t="shared" si="177"/>
        <v>04 Aug 2019 23:00</v>
      </c>
      <c r="AN172" t="str">
        <f t="shared" si="177"/>
        <v>04 Aug 2019 23:00</v>
      </c>
      <c r="AO172" t="str">
        <f t="shared" si="177"/>
        <v>04 Aug 2019 23:00</v>
      </c>
      <c r="AP172" t="str">
        <f t="shared" si="177"/>
        <v>04 Aug 2019 23:00</v>
      </c>
      <c r="AQ172" t="str">
        <f>"06 Aug 2019 03:00"</f>
        <v>06 Aug 2019 03:00</v>
      </c>
      <c r="AR172" t="str">
        <f t="shared" si="168"/>
        <v>Y</v>
      </c>
      <c r="AS172" t="str">
        <f t="shared" si="168"/>
        <v>Y</v>
      </c>
      <c r="AT172" t="str">
        <f t="shared" si="168"/>
        <v>Y</v>
      </c>
      <c r="AU172" t="str">
        <f t="shared" si="171"/>
        <v>N</v>
      </c>
      <c r="AV172" t="str">
        <f t="shared" si="171"/>
        <v>N</v>
      </c>
      <c r="AW172" t="str">
        <f>"Delayed : Previous Port Delayed"</f>
        <v>Delayed : Previous Port Delayed</v>
      </c>
      <c r="AX172" t="str">
        <f t="shared" si="136"/>
        <v>No</v>
      </c>
      <c r="AY172" t="str">
        <f>""</f>
        <v/>
      </c>
      <c r="AZ172" t="s">
        <v>12</v>
      </c>
      <c r="BA172" t="s">
        <v>110</v>
      </c>
      <c r="BB172" t="s">
        <v>132</v>
      </c>
    </row>
    <row r="173" spans="1:54">
      <c r="A173" s="7" t="str">
        <f t="shared" si="137"/>
        <v>CHL4OAE107S</v>
      </c>
      <c r="B173" s="8">
        <f t="shared" si="138"/>
        <v>43679.708333333336</v>
      </c>
      <c r="C173" t="str">
        <f>"CHL4"</f>
        <v>CHL4</v>
      </c>
      <c r="D173" t="str">
        <f>"OAE"</f>
        <v>OAE</v>
      </c>
      <c r="E173" t="str">
        <f>"OOCL AMERICA"</f>
        <v>OOCL AMERICA</v>
      </c>
      <c r="F173" t="str">
        <f>"OOCL"</f>
        <v>OOCL</v>
      </c>
      <c r="G173" t="str">
        <f t="shared" si="133"/>
        <v>OOCL</v>
      </c>
      <c r="H173" t="str">
        <f>""</f>
        <v/>
      </c>
      <c r="I173" t="str">
        <f>"107"</f>
        <v>107</v>
      </c>
      <c r="J173" t="str">
        <f>"S"</f>
        <v>S</v>
      </c>
      <c r="K173" t="str">
        <f>"4"</f>
        <v>4</v>
      </c>
      <c r="L173" t="str">
        <f>"HKG02"</f>
        <v>HKG02</v>
      </c>
      <c r="M173" t="str">
        <f>"HIT - Hongkong International Terminals"</f>
        <v>HIT - Hongkong International Terminals</v>
      </c>
      <c r="N173" t="str">
        <f t="shared" si="134"/>
        <v>HKG</v>
      </c>
      <c r="O173" t="str">
        <f t="shared" si="142"/>
        <v>1</v>
      </c>
      <c r="P173" t="str">
        <f>"VRWE8"</f>
        <v>VRWE8</v>
      </c>
      <c r="Q173" t="str">
        <f>"107S"</f>
        <v>107S</v>
      </c>
      <c r="R173" t="str">
        <f>"107S"</f>
        <v>107S</v>
      </c>
      <c r="S173" t="str">
        <f>"CHT"</f>
        <v>CHT</v>
      </c>
      <c r="T173" t="str">
        <f>"03 Aug 2019 09:00"</f>
        <v>03 Aug 2019 09:00</v>
      </c>
      <c r="U173" t="str">
        <f>"03 Aug 2019 23:00"</f>
        <v>03 Aug 2019 23:00</v>
      </c>
      <c r="V173" t="str">
        <f>"14h"</f>
        <v>14h</v>
      </c>
      <c r="W173" t="str">
        <f>"03 Aug 2019 09:00"</f>
        <v>03 Aug 2019 09:00</v>
      </c>
      <c r="X173" t="str">
        <f>""</f>
        <v/>
      </c>
      <c r="Y173" t="str">
        <f>"03 Aug 2019 23:00"</f>
        <v>03 Aug 2019 23:00</v>
      </c>
      <c r="Z173" t="str">
        <f>""</f>
        <v/>
      </c>
      <c r="AA173" t="str">
        <f>""</f>
        <v/>
      </c>
      <c r="AB173" t="str">
        <f t="shared" si="135"/>
        <v>NN</v>
      </c>
      <c r="AC173" t="str">
        <f>"LL"</f>
        <v>LL</v>
      </c>
      <c r="AD173" t="str">
        <f t="shared" si="176"/>
        <v>0</v>
      </c>
      <c r="AE173" t="str">
        <f t="shared" si="176"/>
        <v>0</v>
      </c>
      <c r="AF173" t="str">
        <f>"04 Aug 2019 00:00"</f>
        <v>04 Aug 2019 00:00</v>
      </c>
      <c r="AG173" t="str">
        <f>"04 Aug 2019 00:00"</f>
        <v>04 Aug 2019 00:00</v>
      </c>
      <c r="AH173" t="str">
        <f>"04 Aug 2019 00:00"</f>
        <v>04 Aug 2019 00:00</v>
      </c>
      <c r="AI173" t="str">
        <f>"04 Aug 2019 00:00"</f>
        <v>04 Aug 2019 00:00</v>
      </c>
      <c r="AJ173" t="str">
        <f>"04 Aug 2019 00:00"</f>
        <v>04 Aug 2019 00:00</v>
      </c>
      <c r="AK173" t="str">
        <f t="shared" ref="AK173:AP173" si="178">"02 Aug 2019 17:00"</f>
        <v>02 Aug 2019 17:00</v>
      </c>
      <c r="AL173" t="str">
        <f t="shared" si="178"/>
        <v>02 Aug 2019 17:00</v>
      </c>
      <c r="AM173" t="str">
        <f t="shared" si="178"/>
        <v>02 Aug 2019 17:00</v>
      </c>
      <c r="AN173" t="str">
        <f t="shared" si="178"/>
        <v>02 Aug 2019 17:00</v>
      </c>
      <c r="AO173" t="str">
        <f t="shared" si="178"/>
        <v>02 Aug 2019 17:00</v>
      </c>
      <c r="AP173" t="str">
        <f t="shared" si="178"/>
        <v>02 Aug 2019 17:00</v>
      </c>
      <c r="AQ173" t="str">
        <f>"04 Aug 2019 00:00"</f>
        <v>04 Aug 2019 00:00</v>
      </c>
      <c r="AR173" t="str">
        <f t="shared" si="168"/>
        <v>Y</v>
      </c>
      <c r="AS173" t="str">
        <f t="shared" si="168"/>
        <v>Y</v>
      </c>
      <c r="AT173" t="str">
        <f t="shared" si="168"/>
        <v>Y</v>
      </c>
      <c r="AU173" t="str">
        <f t="shared" si="171"/>
        <v>N</v>
      </c>
      <c r="AV173" t="str">
        <f t="shared" si="171"/>
        <v>N</v>
      </c>
      <c r="AW173" t="str">
        <f>""</f>
        <v/>
      </c>
      <c r="AX173" t="str">
        <f t="shared" si="136"/>
        <v>No</v>
      </c>
      <c r="AY173" t="str">
        <f>""</f>
        <v/>
      </c>
      <c r="AZ173" t="s">
        <v>12</v>
      </c>
      <c r="BA173" t="s">
        <v>110</v>
      </c>
      <c r="BB173" t="s">
        <v>110</v>
      </c>
    </row>
    <row r="174" spans="1:54">
      <c r="A174" s="7" t="str">
        <f t="shared" si="137"/>
        <v>CIX3OHB112W</v>
      </c>
      <c r="B174" s="8">
        <f t="shared" si="138"/>
        <v>43679.541666666664</v>
      </c>
      <c r="C174" t="str">
        <f>"CIX3"</f>
        <v>CIX3</v>
      </c>
      <c r="D174" t="str">
        <f>"OHB"</f>
        <v>OHB</v>
      </c>
      <c r="E174" t="str">
        <f>"OOCL HAMBURG"</f>
        <v>OOCL HAMBURG</v>
      </c>
      <c r="F174" t="str">
        <f>"OOCL"</f>
        <v>OOCL</v>
      </c>
      <c r="G174" t="str">
        <f t="shared" si="133"/>
        <v>OOCL</v>
      </c>
      <c r="H174" t="str">
        <f>""</f>
        <v/>
      </c>
      <c r="I174" t="str">
        <f>"112"</f>
        <v>112</v>
      </c>
      <c r="J174" t="str">
        <f>"W"</f>
        <v>W</v>
      </c>
      <c r="K174" t="str">
        <f>"3"</f>
        <v>3</v>
      </c>
      <c r="L174" t="str">
        <f>"HKG02"</f>
        <v>HKG02</v>
      </c>
      <c r="M174" t="str">
        <f>"HIT - Hongkong International Terminals"</f>
        <v>HIT - Hongkong International Terminals</v>
      </c>
      <c r="N174" t="str">
        <f t="shared" si="134"/>
        <v>HKG</v>
      </c>
      <c r="O174" t="str">
        <f t="shared" si="142"/>
        <v>1</v>
      </c>
      <c r="P174" t="str">
        <f>"VRZK9"</f>
        <v>VRZK9</v>
      </c>
      <c r="Q174" t="str">
        <f>"112W"</f>
        <v>112W</v>
      </c>
      <c r="R174" t="str">
        <f>"112W"</f>
        <v>112W</v>
      </c>
      <c r="S174" t="str">
        <f>""</f>
        <v/>
      </c>
      <c r="T174" t="str">
        <f>"03 Aug 2019 03:30"</f>
        <v>03 Aug 2019 03:30</v>
      </c>
      <c r="U174" t="str">
        <f>"04 Aug 2019 02:30"</f>
        <v>04 Aug 2019 02:30</v>
      </c>
      <c r="V174" t="str">
        <f>"23h"</f>
        <v>23h</v>
      </c>
      <c r="W174" t="str">
        <f>"03 Aug 2019 03:30"</f>
        <v>03 Aug 2019 03:30</v>
      </c>
      <c r="X174" t="str">
        <f>""</f>
        <v/>
      </c>
      <c r="Y174" t="str">
        <f>"04 Aug 2019 02:30"</f>
        <v>04 Aug 2019 02:30</v>
      </c>
      <c r="Z174" t="str">
        <f>""</f>
        <v/>
      </c>
      <c r="AA174" t="str">
        <f>""</f>
        <v/>
      </c>
      <c r="AB174" t="str">
        <f t="shared" si="135"/>
        <v>NN</v>
      </c>
      <c r="AC174" t="str">
        <f>"LL"</f>
        <v>LL</v>
      </c>
      <c r="AD174" t="str">
        <f t="shared" si="176"/>
        <v>0</v>
      </c>
      <c r="AE174" t="str">
        <f t="shared" si="176"/>
        <v>0</v>
      </c>
      <c r="AF174" t="str">
        <f>"04 Aug 2019 03:30"</f>
        <v>04 Aug 2019 03:30</v>
      </c>
      <c r="AG174" t="str">
        <f>"04 Aug 2019 03:30"</f>
        <v>04 Aug 2019 03:30</v>
      </c>
      <c r="AH174" t="str">
        <f>"04 Aug 2019 03:30"</f>
        <v>04 Aug 2019 03:30</v>
      </c>
      <c r="AI174" t="str">
        <f>"04 Aug 2019 03:30"</f>
        <v>04 Aug 2019 03:30</v>
      </c>
      <c r="AJ174" t="str">
        <f>"04 Aug 2019 03:30"</f>
        <v>04 Aug 2019 03:30</v>
      </c>
      <c r="AK174" t="str">
        <f>"02 Aug 2019 23:00"</f>
        <v>02 Aug 2019 23:00</v>
      </c>
      <c r="AL174" t="str">
        <f>"02 Aug 2019 23:00"</f>
        <v>02 Aug 2019 23:00</v>
      </c>
      <c r="AM174" t="str">
        <f>"02 Aug 2019 23:00"</f>
        <v>02 Aug 2019 23:00</v>
      </c>
      <c r="AN174" t="str">
        <f>"02 Aug 2019 23:00"</f>
        <v>02 Aug 2019 23:00</v>
      </c>
      <c r="AO174" t="str">
        <f>"02 Aug 2019 23:00"</f>
        <v>02 Aug 2019 23:00</v>
      </c>
      <c r="AP174" t="str">
        <f>"02 Aug 2019 13:00"</f>
        <v>02 Aug 2019 13:00</v>
      </c>
      <c r="AQ174" t="str">
        <f>"04 Aug 2019 03:30"</f>
        <v>04 Aug 2019 03:30</v>
      </c>
      <c r="AR174" t="str">
        <f t="shared" si="168"/>
        <v>Y</v>
      </c>
      <c r="AS174" t="str">
        <f t="shared" si="168"/>
        <v>Y</v>
      </c>
      <c r="AT174" t="str">
        <f t="shared" si="168"/>
        <v>Y</v>
      </c>
      <c r="AU174" t="str">
        <f t="shared" si="171"/>
        <v>N</v>
      </c>
      <c r="AV174" t="str">
        <f t="shared" si="171"/>
        <v>N</v>
      </c>
      <c r="AW174" t="str">
        <f>""</f>
        <v/>
      </c>
      <c r="AX174" t="str">
        <f t="shared" si="136"/>
        <v>No</v>
      </c>
      <c r="AY174" t="str">
        <f>""</f>
        <v/>
      </c>
      <c r="AZ174" t="s">
        <v>12</v>
      </c>
      <c r="BA174" t="s">
        <v>110</v>
      </c>
      <c r="BB174" t="s">
        <v>110</v>
      </c>
    </row>
    <row r="175" spans="1:54">
      <c r="A175" s="7" t="str">
        <f t="shared" si="137"/>
        <v>CNSGIL268N</v>
      </c>
      <c r="B175" s="8">
        <f t="shared" si="138"/>
        <v>43680.708333333336</v>
      </c>
      <c r="C175" t="str">
        <f>"CNS"</f>
        <v>CNS</v>
      </c>
      <c r="D175" t="str">
        <f>"GIL"</f>
        <v>GIL</v>
      </c>
      <c r="E175" t="str">
        <f>"SIMA GISELLE"</f>
        <v>SIMA GISELLE</v>
      </c>
      <c r="F175" t="str">
        <f>"ANL"</f>
        <v>ANL</v>
      </c>
      <c r="G175" t="str">
        <f t="shared" si="133"/>
        <v>OOCL</v>
      </c>
      <c r="H175" t="str">
        <f>""</f>
        <v/>
      </c>
      <c r="I175" t="str">
        <f>"268"</f>
        <v>268</v>
      </c>
      <c r="J175" t="str">
        <f>"N"</f>
        <v>N</v>
      </c>
      <c r="K175" t="str">
        <f>"7"</f>
        <v>7</v>
      </c>
      <c r="L175" t="str">
        <f>"HKG02"</f>
        <v>HKG02</v>
      </c>
      <c r="M175" t="str">
        <f>"HIT - Hongkong International Terminals"</f>
        <v>HIT - Hongkong International Terminals</v>
      </c>
      <c r="N175" t="str">
        <f t="shared" si="134"/>
        <v>HKG</v>
      </c>
      <c r="O175" t="str">
        <f t="shared" si="142"/>
        <v>1</v>
      </c>
      <c r="P175" t="str">
        <f>"9V2812"</f>
        <v>9V2812</v>
      </c>
      <c r="Q175" t="str">
        <f>"268N"</f>
        <v>268N</v>
      </c>
      <c r="R175" t="str">
        <f>"268N"</f>
        <v>268N</v>
      </c>
      <c r="S175" t="str">
        <f>""</f>
        <v/>
      </c>
      <c r="T175" t="str">
        <f>"04 Aug 2019 07:00"</f>
        <v>04 Aug 2019 07:00</v>
      </c>
      <c r="U175" t="str">
        <f>"04 Aug 2019 21:00"</f>
        <v>04 Aug 2019 21:00</v>
      </c>
      <c r="V175" t="str">
        <f>"14h"</f>
        <v>14h</v>
      </c>
      <c r="W175" t="str">
        <f>"04 Aug 2019 07:00"</f>
        <v>04 Aug 2019 07:00</v>
      </c>
      <c r="X175" t="str">
        <f>""</f>
        <v/>
      </c>
      <c r="Y175" t="str">
        <f>"04 Aug 2019 21:00"</f>
        <v>04 Aug 2019 21:00</v>
      </c>
      <c r="Z175" t="str">
        <f>""</f>
        <v/>
      </c>
      <c r="AA175" t="str">
        <f>""</f>
        <v/>
      </c>
      <c r="AB175" t="str">
        <f t="shared" si="135"/>
        <v>NN</v>
      </c>
      <c r="AC175" t="str">
        <f>"LL"</f>
        <v>LL</v>
      </c>
      <c r="AD175" t="str">
        <f t="shared" si="176"/>
        <v>0</v>
      </c>
      <c r="AE175" t="str">
        <f t="shared" si="176"/>
        <v>0</v>
      </c>
      <c r="AF175" t="str">
        <f>"05 Aug 2019 00:00"</f>
        <v>05 Aug 2019 00:00</v>
      </c>
      <c r="AG175" t="str">
        <f>"05 Aug 2019 00:00"</f>
        <v>05 Aug 2019 00:00</v>
      </c>
      <c r="AH175" t="str">
        <f>"05 Aug 2019 00:00"</f>
        <v>05 Aug 2019 00:00</v>
      </c>
      <c r="AI175" t="str">
        <f>"05 Aug 2019 00:00"</f>
        <v>05 Aug 2019 00:00</v>
      </c>
      <c r="AJ175" t="str">
        <f>"05 Aug 2019 00:00"</f>
        <v>05 Aug 2019 00:00</v>
      </c>
      <c r="AK175" t="str">
        <f>"03 Aug 2019 23:00"</f>
        <v>03 Aug 2019 23:00</v>
      </c>
      <c r="AL175" t="str">
        <f>"03 Aug 2019 23:00"</f>
        <v>03 Aug 2019 23:00</v>
      </c>
      <c r="AM175" t="str">
        <f>"03 Aug 2019 23:00"</f>
        <v>03 Aug 2019 23:00</v>
      </c>
      <c r="AN175" t="str">
        <f>"03 Aug 2019 23:00"</f>
        <v>03 Aug 2019 23:00</v>
      </c>
      <c r="AO175" t="str">
        <f>"03 Aug 2019 23:00"</f>
        <v>03 Aug 2019 23:00</v>
      </c>
      <c r="AP175" t="str">
        <f>"03 Aug 2019 17:00"</f>
        <v>03 Aug 2019 17:00</v>
      </c>
      <c r="AQ175" t="str">
        <f>"05 Aug 2019 00:00"</f>
        <v>05 Aug 2019 00:00</v>
      </c>
      <c r="AR175" t="str">
        <f t="shared" si="168"/>
        <v>Y</v>
      </c>
      <c r="AS175" t="str">
        <f t="shared" si="168"/>
        <v>Y</v>
      </c>
      <c r="AT175" t="str">
        <f t="shared" si="168"/>
        <v>Y</v>
      </c>
      <c r="AU175" t="str">
        <f t="shared" si="171"/>
        <v>N</v>
      </c>
      <c r="AV175" t="str">
        <f t="shared" si="171"/>
        <v>N</v>
      </c>
      <c r="AW175" t="str">
        <f>""</f>
        <v/>
      </c>
      <c r="AX175" t="str">
        <f t="shared" si="136"/>
        <v>No</v>
      </c>
      <c r="AY175" t="str">
        <f>""</f>
        <v/>
      </c>
      <c r="AZ175" t="s">
        <v>12</v>
      </c>
      <c r="BA175" t="s">
        <v>110</v>
      </c>
      <c r="BB175" t="s">
        <v>110</v>
      </c>
    </row>
    <row r="176" spans="1:54">
      <c r="A176" s="7" t="str">
        <f t="shared" si="137"/>
        <v>CPXOSH044E</v>
      </c>
      <c r="B176" s="8">
        <f t="shared" si="138"/>
        <v>43680.625</v>
      </c>
      <c r="C176" t="str">
        <f>"CPX"</f>
        <v>CPX</v>
      </c>
      <c r="D176" t="str">
        <f>"OSH"</f>
        <v>OSH</v>
      </c>
      <c r="E176" t="str">
        <f>"OOCL SHANGHAI"</f>
        <v>OOCL SHANGHAI</v>
      </c>
      <c r="F176" t="str">
        <f>"OOCL"</f>
        <v>OOCL</v>
      </c>
      <c r="G176" t="str">
        <f t="shared" si="133"/>
        <v>OOCL</v>
      </c>
      <c r="H176" t="str">
        <f>""</f>
        <v/>
      </c>
      <c r="I176" t="str">
        <f>"044"</f>
        <v>044</v>
      </c>
      <c r="J176" t="str">
        <f>"E"</f>
        <v>E</v>
      </c>
      <c r="K176" t="str">
        <f>"5"</f>
        <v>5</v>
      </c>
      <c r="L176" t="str">
        <f>"HKG24"</f>
        <v>HKG24</v>
      </c>
      <c r="M176" t="str">
        <f>"Modern Terminals Ltd."</f>
        <v>Modern Terminals Ltd.</v>
      </c>
      <c r="N176" t="str">
        <f t="shared" si="134"/>
        <v>HKG</v>
      </c>
      <c r="O176" t="str">
        <f t="shared" si="142"/>
        <v>1</v>
      </c>
      <c r="P176" t="str">
        <f>"VRJS3"</f>
        <v>VRJS3</v>
      </c>
      <c r="Q176" t="str">
        <f>"044E"</f>
        <v>044E</v>
      </c>
      <c r="R176" t="str">
        <f>"044E"</f>
        <v>044E</v>
      </c>
      <c r="S176" t="str">
        <f>""</f>
        <v/>
      </c>
      <c r="T176" t="str">
        <f>"29 Jul 2019 07:00"</f>
        <v>29 Jul 2019 07:00</v>
      </c>
      <c r="U176" t="str">
        <f>"29 Jul 2019 22:00"</f>
        <v>29 Jul 2019 22:00</v>
      </c>
      <c r="V176" t="str">
        <f>"15h"</f>
        <v>15h</v>
      </c>
      <c r="W176" t="str">
        <f>"04 Aug 2019 14:00"</f>
        <v>04 Aug 2019 14:00</v>
      </c>
      <c r="X176" t="str">
        <f>""</f>
        <v/>
      </c>
      <c r="Y176" t="str">
        <f>"05 Aug 2019 05:00"</f>
        <v>05 Aug 2019 05:00</v>
      </c>
      <c r="Z176" t="str">
        <f>""</f>
        <v/>
      </c>
      <c r="AA176" t="str">
        <f>""</f>
        <v/>
      </c>
      <c r="AB176" t="str">
        <f t="shared" si="135"/>
        <v>NN</v>
      </c>
      <c r="AC176" t="str">
        <f>"CC"</f>
        <v>CC</v>
      </c>
      <c r="AD176" t="str">
        <f>"151"</f>
        <v>151</v>
      </c>
      <c r="AE176" t="str">
        <f>"151"</f>
        <v>151</v>
      </c>
      <c r="AF176" t="str">
        <f>"05 Aug 2019 14:00"</f>
        <v>05 Aug 2019 14:00</v>
      </c>
      <c r="AG176" t="str">
        <f>"05 Aug 2019 14:00"</f>
        <v>05 Aug 2019 14:00</v>
      </c>
      <c r="AH176" t="str">
        <f>"05 Aug 2019 14:00"</f>
        <v>05 Aug 2019 14:00</v>
      </c>
      <c r="AI176" t="str">
        <f>"05 Aug 2019 14:00"</f>
        <v>05 Aug 2019 14:00</v>
      </c>
      <c r="AJ176" t="str">
        <f>"05 Aug 2019 14:00"</f>
        <v>05 Aug 2019 14:00</v>
      </c>
      <c r="AK176" t="str">
        <f t="shared" ref="AK176:AP176" si="179">"03 Aug 2019 15:00"</f>
        <v>03 Aug 2019 15:00</v>
      </c>
      <c r="AL176" t="str">
        <f t="shared" si="179"/>
        <v>03 Aug 2019 15:00</v>
      </c>
      <c r="AM176" t="str">
        <f t="shared" si="179"/>
        <v>03 Aug 2019 15:00</v>
      </c>
      <c r="AN176" t="str">
        <f t="shared" si="179"/>
        <v>03 Aug 2019 15:00</v>
      </c>
      <c r="AO176" t="str">
        <f t="shared" si="179"/>
        <v>03 Aug 2019 15:00</v>
      </c>
      <c r="AP176" t="str">
        <f t="shared" si="179"/>
        <v>03 Aug 2019 15:00</v>
      </c>
      <c r="AQ176" t="str">
        <f>"05 Aug 2019 05:00"</f>
        <v>05 Aug 2019 05:00</v>
      </c>
      <c r="AR176" t="str">
        <f t="shared" si="168"/>
        <v>Y</v>
      </c>
      <c r="AS176" t="str">
        <f t="shared" si="168"/>
        <v>Y</v>
      </c>
      <c r="AT176" t="str">
        <f t="shared" si="168"/>
        <v>Y</v>
      </c>
      <c r="AU176" t="str">
        <f t="shared" si="171"/>
        <v>N</v>
      </c>
      <c r="AV176" t="str">
        <f t="shared" si="171"/>
        <v>N</v>
      </c>
      <c r="AW176" t="str">
        <f>""</f>
        <v/>
      </c>
      <c r="AX176" t="str">
        <f t="shared" si="136"/>
        <v>No</v>
      </c>
      <c r="AY176" t="str">
        <f>"OSH reduce speed phase out and blank 045, replacement vessel TBA"</f>
        <v>OSH reduce speed phase out and blank 045, replacement vessel TBA</v>
      </c>
      <c r="AZ176" t="s">
        <v>12</v>
      </c>
      <c r="BA176" t="s">
        <v>115</v>
      </c>
      <c r="BB176" t="s">
        <v>110</v>
      </c>
    </row>
    <row r="177" spans="1:54">
      <c r="A177" s="7" t="str">
        <f t="shared" si="137"/>
        <v>CPXYEX102E</v>
      </c>
      <c r="B177" s="8">
        <f t="shared" si="138"/>
        <v>43681.541666666664</v>
      </c>
      <c r="C177" t="str">
        <f>"CPX"</f>
        <v>CPX</v>
      </c>
      <c r="D177" t="str">
        <f>"YEX"</f>
        <v>YEX</v>
      </c>
      <c r="E177" t="str">
        <f>"YM EXCELLENCE"</f>
        <v>YM EXCELLENCE</v>
      </c>
      <c r="F177" t="str">
        <f>"YML"</f>
        <v>YML</v>
      </c>
      <c r="G177" t="str">
        <f t="shared" si="133"/>
        <v>OOCL</v>
      </c>
      <c r="H177" t="str">
        <f>""</f>
        <v/>
      </c>
      <c r="I177" t="str">
        <f>"102"</f>
        <v>102</v>
      </c>
      <c r="J177" t="str">
        <f>"E"</f>
        <v>E</v>
      </c>
      <c r="K177" t="str">
        <f>"5"</f>
        <v>5</v>
      </c>
      <c r="L177" t="str">
        <f>"HKG24"</f>
        <v>HKG24</v>
      </c>
      <c r="M177" t="str">
        <f>"Modern Terminals Ltd."</f>
        <v>Modern Terminals Ltd.</v>
      </c>
      <c r="N177" t="str">
        <f t="shared" si="134"/>
        <v>HKG</v>
      </c>
      <c r="O177" t="str">
        <f t="shared" si="142"/>
        <v>1</v>
      </c>
      <c r="P177" t="str">
        <f>"D5HJ3"</f>
        <v>D5HJ3</v>
      </c>
      <c r="Q177" t="str">
        <f>"102E"</f>
        <v>102E</v>
      </c>
      <c r="R177" t="str">
        <f>"102E"</f>
        <v>102E</v>
      </c>
      <c r="S177" t="str">
        <f>""</f>
        <v/>
      </c>
      <c r="T177" t="str">
        <f>"05 Aug 2019 07:00"</f>
        <v>05 Aug 2019 07:00</v>
      </c>
      <c r="U177" t="str">
        <f>"05 Aug 2019 22:00"</f>
        <v>05 Aug 2019 22:00</v>
      </c>
      <c r="V177" t="str">
        <f>"15h"</f>
        <v>15h</v>
      </c>
      <c r="W177" t="str">
        <f>"05 Aug 2019 07:00"</f>
        <v>05 Aug 2019 07:00</v>
      </c>
      <c r="X177" t="str">
        <f>""</f>
        <v/>
      </c>
      <c r="Y177" t="str">
        <f>"05 Aug 2019 22:00"</f>
        <v>05 Aug 2019 22:00</v>
      </c>
      <c r="Z177" t="str">
        <f>""</f>
        <v/>
      </c>
      <c r="AA177" t="str">
        <f>""</f>
        <v/>
      </c>
      <c r="AB177" t="str">
        <f t="shared" si="135"/>
        <v>NN</v>
      </c>
      <c r="AC177" t="str">
        <f>"CC"</f>
        <v>CC</v>
      </c>
      <c r="AD177" t="str">
        <f>"0"</f>
        <v>0</v>
      </c>
      <c r="AE177" t="str">
        <f>"0"</f>
        <v>0</v>
      </c>
      <c r="AF177" t="str">
        <f>"06 Aug 2019 23:00"</f>
        <v>06 Aug 2019 23:00</v>
      </c>
      <c r="AG177" t="str">
        <f>"06 Aug 2019 23:00"</f>
        <v>06 Aug 2019 23:00</v>
      </c>
      <c r="AH177" t="str">
        <f>"06 Aug 2019 23:00"</f>
        <v>06 Aug 2019 23:00</v>
      </c>
      <c r="AI177" t="str">
        <f>"06 Aug 2019 23:00"</f>
        <v>06 Aug 2019 23:00</v>
      </c>
      <c r="AJ177" t="str">
        <f>"06 Aug 2019 23:00"</f>
        <v>06 Aug 2019 23:00</v>
      </c>
      <c r="AK177" t="str">
        <f>"04 Aug 2019 15:00"</f>
        <v>04 Aug 2019 15:00</v>
      </c>
      <c r="AL177" t="str">
        <f>"04 Aug 2019 15:00"</f>
        <v>04 Aug 2019 15:00</v>
      </c>
      <c r="AM177" t="str">
        <f>"04 Aug 2019 15:00"</f>
        <v>04 Aug 2019 15:00</v>
      </c>
      <c r="AN177" t="str">
        <f>"04 Aug 2019 15:00"</f>
        <v>04 Aug 2019 15:00</v>
      </c>
      <c r="AO177" t="str">
        <f>"04 Aug 2019 15:00"</f>
        <v>04 Aug 2019 15:00</v>
      </c>
      <c r="AP177" t="str">
        <f>"04 Aug 2019 13:00"</f>
        <v>04 Aug 2019 13:00</v>
      </c>
      <c r="AQ177" t="str">
        <f>"05 Aug 2019 23:00"</f>
        <v>05 Aug 2019 23:00</v>
      </c>
      <c r="AR177" t="str">
        <f t="shared" si="168"/>
        <v>Y</v>
      </c>
      <c r="AS177" t="str">
        <f t="shared" si="168"/>
        <v>Y</v>
      </c>
      <c r="AT177" t="str">
        <f t="shared" si="168"/>
        <v>Y</v>
      </c>
      <c r="AU177" t="str">
        <f t="shared" si="171"/>
        <v>N</v>
      </c>
      <c r="AV177" t="str">
        <f t="shared" si="171"/>
        <v>N</v>
      </c>
      <c r="AW177" t="str">
        <f>""</f>
        <v/>
      </c>
      <c r="AX177" t="str">
        <f t="shared" si="136"/>
        <v>No</v>
      </c>
      <c r="AY177" t="str">
        <f>""</f>
        <v/>
      </c>
      <c r="AZ177" t="s">
        <v>12</v>
      </c>
      <c r="BA177" t="s">
        <v>110</v>
      </c>
      <c r="BB177" t="s">
        <v>110</v>
      </c>
    </row>
    <row r="178" spans="1:54">
      <c r="A178" s="7" t="str">
        <f t="shared" si="137"/>
        <v>FCS2WNNW056</v>
      </c>
      <c r="B178" s="8">
        <f t="shared" si="138"/>
        <v>43680.833333333336</v>
      </c>
      <c r="C178" t="str">
        <f>"FCS2"</f>
        <v>FCS2</v>
      </c>
      <c r="D178" t="str">
        <f>"WNN"</f>
        <v>WNN</v>
      </c>
      <c r="E178" t="str">
        <f>"WAN HAI 515"</f>
        <v>WAN HAI 515</v>
      </c>
      <c r="F178" t="str">
        <f>"WHL"</f>
        <v>WHL</v>
      </c>
      <c r="G178" t="str">
        <f t="shared" si="133"/>
        <v>OOCL</v>
      </c>
      <c r="H178" t="str">
        <f>""</f>
        <v/>
      </c>
      <c r="I178" t="str">
        <f>"056"</f>
        <v>056</v>
      </c>
      <c r="J178" t="str">
        <f>"W"</f>
        <v>W</v>
      </c>
      <c r="K178" t="str">
        <f>"3"</f>
        <v>3</v>
      </c>
      <c r="L178" t="str">
        <f>"HKG02"</f>
        <v>HKG02</v>
      </c>
      <c r="M178" t="str">
        <f>"HIT - Hongkong International Terminals"</f>
        <v>HIT - Hongkong International Terminals</v>
      </c>
      <c r="N178" t="str">
        <f t="shared" si="134"/>
        <v>HKG</v>
      </c>
      <c r="O178" t="str">
        <f t="shared" si="142"/>
        <v>1</v>
      </c>
      <c r="P178" t="str">
        <f>"9V7581"</f>
        <v>9V7581</v>
      </c>
      <c r="Q178" t="str">
        <f>"W056"</f>
        <v>W056</v>
      </c>
      <c r="R178" t="str">
        <f>"W056"</f>
        <v>W056</v>
      </c>
      <c r="S178" t="str">
        <f>""</f>
        <v/>
      </c>
      <c r="T178" t="str">
        <f>"04 Aug 2019 10:00"</f>
        <v>04 Aug 2019 10:00</v>
      </c>
      <c r="U178" t="str">
        <f>"04 Aug 2019 23:00"</f>
        <v>04 Aug 2019 23:00</v>
      </c>
      <c r="V178" t="str">
        <f>"13h"</f>
        <v>13h</v>
      </c>
      <c r="W178" t="str">
        <f>"05 Aug 2019 06:00"</f>
        <v>05 Aug 2019 06:00</v>
      </c>
      <c r="X178" t="str">
        <f>""</f>
        <v/>
      </c>
      <c r="Y178" t="str">
        <f>"05 Aug 2019 19:00"</f>
        <v>05 Aug 2019 19:00</v>
      </c>
      <c r="Z178" t="str">
        <f>""</f>
        <v/>
      </c>
      <c r="AA178" t="str">
        <f>""</f>
        <v/>
      </c>
      <c r="AB178" t="str">
        <f t="shared" si="135"/>
        <v>NN</v>
      </c>
      <c r="AC178" t="str">
        <f>"CC"</f>
        <v>CC</v>
      </c>
      <c r="AD178" t="str">
        <f>"20"</f>
        <v>20</v>
      </c>
      <c r="AE178" t="str">
        <f>"20"</f>
        <v>20</v>
      </c>
      <c r="AF178" t="str">
        <f>"06 Aug 2019 06:00"</f>
        <v>06 Aug 2019 06:00</v>
      </c>
      <c r="AG178" t="str">
        <f>"06 Aug 2019 06:00"</f>
        <v>06 Aug 2019 06:00</v>
      </c>
      <c r="AH178" t="str">
        <f>"06 Aug 2019 06:00"</f>
        <v>06 Aug 2019 06:00</v>
      </c>
      <c r="AI178" t="str">
        <f>"06 Aug 2019 06:00"</f>
        <v>06 Aug 2019 06:00</v>
      </c>
      <c r="AJ178" t="str">
        <f>"06 Aug 2019 06:00"</f>
        <v>06 Aug 2019 06:00</v>
      </c>
      <c r="AK178" t="str">
        <f t="shared" ref="AK178:AO179" si="180">"03 Aug 2019 23:00"</f>
        <v>03 Aug 2019 23:00</v>
      </c>
      <c r="AL178" t="str">
        <f t="shared" si="180"/>
        <v>03 Aug 2019 23:00</v>
      </c>
      <c r="AM178" t="str">
        <f t="shared" si="180"/>
        <v>03 Aug 2019 23:00</v>
      </c>
      <c r="AN178" t="str">
        <f t="shared" si="180"/>
        <v>03 Aug 2019 23:00</v>
      </c>
      <c r="AO178" t="str">
        <f t="shared" si="180"/>
        <v>03 Aug 2019 23:00</v>
      </c>
      <c r="AP178" t="str">
        <f>"03 Aug 2019 20:00"</f>
        <v>03 Aug 2019 20:00</v>
      </c>
      <c r="AQ178" t="str">
        <f>"05 Aug 2019 19:00"</f>
        <v>05 Aug 2019 19:00</v>
      </c>
      <c r="AR178" t="str">
        <f t="shared" si="168"/>
        <v>Y</v>
      </c>
      <c r="AS178" t="str">
        <f t="shared" si="168"/>
        <v>Y</v>
      </c>
      <c r="AT178" t="str">
        <f t="shared" si="168"/>
        <v>Y</v>
      </c>
      <c r="AU178" t="str">
        <f t="shared" ref="AU178:AV197" si="181">"N"</f>
        <v>N</v>
      </c>
      <c r="AV178" t="str">
        <f t="shared" si="181"/>
        <v>N</v>
      </c>
      <c r="AW178" t="str">
        <f>"Delayed : Previous Port Delayed"</f>
        <v>Delayed : Previous Port Delayed</v>
      </c>
      <c r="AX178" t="str">
        <f t="shared" si="136"/>
        <v>No</v>
      </c>
      <c r="AY178" t="str">
        <f>""</f>
        <v/>
      </c>
      <c r="AZ178" t="s">
        <v>12</v>
      </c>
      <c r="BA178" t="s">
        <v>110</v>
      </c>
      <c r="BB178" t="s">
        <v>110</v>
      </c>
    </row>
    <row r="179" spans="1:54">
      <c r="A179" s="7" t="str">
        <f t="shared" si="137"/>
        <v>HHX1TED1915E</v>
      </c>
      <c r="B179" s="8" t="e">
        <f t="shared" si="138"/>
        <v>#VALUE!</v>
      </c>
      <c r="C179" t="str">
        <f>"HHX1"</f>
        <v>HHX1</v>
      </c>
      <c r="D179" t="str">
        <f>"TED"</f>
        <v>TED</v>
      </c>
      <c r="E179" t="str">
        <f>"HE SHENG"</f>
        <v>HE SHENG</v>
      </c>
      <c r="F179" t="str">
        <f>"ASL"</f>
        <v>ASL</v>
      </c>
      <c r="G179" t="str">
        <f t="shared" si="133"/>
        <v>OOCL</v>
      </c>
      <c r="H179" t="str">
        <f>""</f>
        <v/>
      </c>
      <c r="I179" t="str">
        <f>"015"</f>
        <v>015</v>
      </c>
      <c r="J179" t="str">
        <f>"E"</f>
        <v>E</v>
      </c>
      <c r="K179" t="str">
        <f>"2"</f>
        <v>2</v>
      </c>
      <c r="L179" t="str">
        <f>"HKG12"</f>
        <v>HKG12</v>
      </c>
      <c r="M179" t="str">
        <f>"China Merchants Container Services Limited"</f>
        <v>China Merchants Container Services Limited</v>
      </c>
      <c r="N179" t="str">
        <f t="shared" si="134"/>
        <v>HKG</v>
      </c>
      <c r="O179" t="str">
        <f t="shared" si="142"/>
        <v>1</v>
      </c>
      <c r="P179" t="str">
        <f>"VRPR2"</f>
        <v>VRPR2</v>
      </c>
      <c r="Q179" t="str">
        <f>"1915E"</f>
        <v>1915E</v>
      </c>
      <c r="R179" t="str">
        <f>"1915E"</f>
        <v>1915E</v>
      </c>
      <c r="S179" t="str">
        <f>""</f>
        <v/>
      </c>
      <c r="T179" t="str">
        <f>"03 Aug 2019 14:00"</f>
        <v>03 Aug 2019 14:00</v>
      </c>
      <c r="U179" t="str">
        <f>"04 Aug 2019 06:00"</f>
        <v>04 Aug 2019 06:00</v>
      </c>
      <c r="V179" t="str">
        <f>"16h"</f>
        <v>16h</v>
      </c>
      <c r="W179" t="str">
        <f>"04 Aug 2019 01:00"</f>
        <v>04 Aug 2019 01:00</v>
      </c>
      <c r="X179" t="str">
        <f>""</f>
        <v/>
      </c>
      <c r="Y179" t="str">
        <f>"04 Aug 2019 12:00"</f>
        <v>04 Aug 2019 12:00</v>
      </c>
      <c r="Z179" t="str">
        <f>""</f>
        <v/>
      </c>
      <c r="AA179" t="str">
        <f>""</f>
        <v/>
      </c>
      <c r="AB179" t="str">
        <f t="shared" si="135"/>
        <v>NN</v>
      </c>
      <c r="AC179" t="str">
        <f>"CC"</f>
        <v>CC</v>
      </c>
      <c r="AD179" t="str">
        <f>"11"</f>
        <v>11</v>
      </c>
      <c r="AE179" t="str">
        <f>"6"</f>
        <v>6</v>
      </c>
      <c r="AF179" t="str">
        <f>"05 Aug 2019 00:00"</f>
        <v>05 Aug 2019 00:00</v>
      </c>
      <c r="AG179" t="str">
        <f>"05 Aug 2019 00:00"</f>
        <v>05 Aug 2019 00:00</v>
      </c>
      <c r="AH179" t="str">
        <f>"05 Aug 2019 00:00"</f>
        <v>05 Aug 2019 00:00</v>
      </c>
      <c r="AI179" t="str">
        <f>"05 Aug 2019 00:00"</f>
        <v>05 Aug 2019 00:00</v>
      </c>
      <c r="AJ179" t="str">
        <f>"05 Aug 2019 00:00"</f>
        <v>05 Aug 2019 00:00</v>
      </c>
      <c r="AK179" t="str">
        <f t="shared" si="180"/>
        <v>03 Aug 2019 23:00</v>
      </c>
      <c r="AL179" t="str">
        <f t="shared" si="180"/>
        <v>03 Aug 2019 23:00</v>
      </c>
      <c r="AM179" t="str">
        <f t="shared" si="180"/>
        <v>03 Aug 2019 23:00</v>
      </c>
      <c r="AN179" t="str">
        <f t="shared" si="180"/>
        <v>03 Aug 2019 23:00</v>
      </c>
      <c r="AO179" t="str">
        <f t="shared" si="180"/>
        <v>03 Aug 2019 23:00</v>
      </c>
      <c r="AP179" t="str">
        <f>""</f>
        <v/>
      </c>
      <c r="AQ179" t="str">
        <f>"04 Aug 2019 12:00"</f>
        <v>04 Aug 2019 12:00</v>
      </c>
      <c r="AR179" t="str">
        <f t="shared" si="168"/>
        <v>Y</v>
      </c>
      <c r="AS179" t="str">
        <f t="shared" si="168"/>
        <v>Y</v>
      </c>
      <c r="AT179" t="str">
        <f t="shared" si="168"/>
        <v>Y</v>
      </c>
      <c r="AU179" t="str">
        <f t="shared" si="181"/>
        <v>N</v>
      </c>
      <c r="AV179" t="str">
        <f t="shared" si="181"/>
        <v>N</v>
      </c>
      <c r="AW179" t="str">
        <f>""</f>
        <v/>
      </c>
      <c r="AX179" t="str">
        <f t="shared" si="136"/>
        <v>No</v>
      </c>
      <c r="AY179" t="str">
        <f>""</f>
        <v/>
      </c>
      <c r="AZ179" t="s">
        <v>12</v>
      </c>
      <c r="BA179" t="s">
        <v>110</v>
      </c>
      <c r="BB179" t="s">
        <v>110</v>
      </c>
    </row>
    <row r="180" spans="1:54">
      <c r="A180" s="7" t="str">
        <f t="shared" si="137"/>
        <v>HHX1LLA1916W</v>
      </c>
      <c r="B180" s="8">
        <f t="shared" si="138"/>
        <v>43681.625</v>
      </c>
      <c r="C180" t="str">
        <f>"HHX1"</f>
        <v>HHX1</v>
      </c>
      <c r="D180" t="str">
        <f>"LLA"</f>
        <v>LLA</v>
      </c>
      <c r="E180" t="str">
        <f>"LILA BHUM"</f>
        <v>LILA BHUM</v>
      </c>
      <c r="F180" t="str">
        <f>"ASL"</f>
        <v>ASL</v>
      </c>
      <c r="G180" t="str">
        <f t="shared" si="133"/>
        <v>OOCL</v>
      </c>
      <c r="H180" t="str">
        <f>""</f>
        <v/>
      </c>
      <c r="I180" t="str">
        <f>"016"</f>
        <v>016</v>
      </c>
      <c r="J180" t="str">
        <f>"W"</f>
        <v>W</v>
      </c>
      <c r="K180" t="str">
        <f>"3"</f>
        <v>3</v>
      </c>
      <c r="L180" t="str">
        <f>"HKG12"</f>
        <v>HKG12</v>
      </c>
      <c r="M180" t="str">
        <f>"China Merchants Container Services Limited"</f>
        <v>China Merchants Container Services Limited</v>
      </c>
      <c r="N180" t="str">
        <f t="shared" si="134"/>
        <v>HKG</v>
      </c>
      <c r="O180" t="str">
        <f t="shared" si="142"/>
        <v>1</v>
      </c>
      <c r="P180" t="str">
        <f>"S6LX"</f>
        <v>S6LX</v>
      </c>
      <c r="Q180" t="str">
        <f>"1916W"</f>
        <v>1916W</v>
      </c>
      <c r="R180" t="str">
        <f>"1916W"</f>
        <v>1916W</v>
      </c>
      <c r="S180" t="str">
        <f>""</f>
        <v/>
      </c>
      <c r="T180" t="str">
        <f>"05 Aug 2019 03:00"</f>
        <v>05 Aug 2019 03:00</v>
      </c>
      <c r="U180" t="str">
        <f>"05 Aug 2019 19:00"</f>
        <v>05 Aug 2019 19:00</v>
      </c>
      <c r="V180" t="str">
        <f>"16h"</f>
        <v>16h</v>
      </c>
      <c r="W180" t="str">
        <f>"05 Aug 2019 04:00"</f>
        <v>05 Aug 2019 04:00</v>
      </c>
      <c r="X180" t="str">
        <f>""</f>
        <v/>
      </c>
      <c r="Y180" t="str">
        <f>"05 Aug 2019 23:00"</f>
        <v>05 Aug 2019 23:00</v>
      </c>
      <c r="Z180" t="str">
        <f>""</f>
        <v/>
      </c>
      <c r="AA180" t="str">
        <f>""</f>
        <v/>
      </c>
      <c r="AB180" t="str">
        <f t="shared" si="135"/>
        <v>NN</v>
      </c>
      <c r="AC180" t="str">
        <f>"CC"</f>
        <v>CC</v>
      </c>
      <c r="AD180" t="str">
        <f>"1"</f>
        <v>1</v>
      </c>
      <c r="AE180" t="str">
        <f>"4"</f>
        <v>4</v>
      </c>
      <c r="AF180" t="str">
        <f>"06 Aug 2019 00:00"</f>
        <v>06 Aug 2019 00:00</v>
      </c>
      <c r="AG180" t="str">
        <f>"06 Aug 2019 00:00"</f>
        <v>06 Aug 2019 00:00</v>
      </c>
      <c r="AH180" t="str">
        <f>"06 Aug 2019 00:00"</f>
        <v>06 Aug 2019 00:00</v>
      </c>
      <c r="AI180" t="str">
        <f>"06 Aug 2019 00:00"</f>
        <v>06 Aug 2019 00:00</v>
      </c>
      <c r="AJ180" t="str">
        <f>"06 Aug 2019 00:00"</f>
        <v>06 Aug 2019 00:00</v>
      </c>
      <c r="AK180" t="str">
        <f>"04 Aug 2019 23:00"</f>
        <v>04 Aug 2019 23:00</v>
      </c>
      <c r="AL180" t="str">
        <f>"04 Aug 2019 23:00"</f>
        <v>04 Aug 2019 23:00</v>
      </c>
      <c r="AM180" t="str">
        <f>"04 Aug 2019 23:00"</f>
        <v>04 Aug 2019 23:00</v>
      </c>
      <c r="AN180" t="str">
        <f>"04 Aug 2019 23:00"</f>
        <v>04 Aug 2019 23:00</v>
      </c>
      <c r="AO180" t="str">
        <f>"04 Aug 2019 23:00"</f>
        <v>04 Aug 2019 23:00</v>
      </c>
      <c r="AP180" t="str">
        <f>"04 Aug 2019 15:00"</f>
        <v>04 Aug 2019 15:00</v>
      </c>
      <c r="AQ180" t="str">
        <f>"05 Aug 2019 23:00"</f>
        <v>05 Aug 2019 23:00</v>
      </c>
      <c r="AR180" t="str">
        <f t="shared" ref="AR180:AT199" si="182">"Y"</f>
        <v>Y</v>
      </c>
      <c r="AS180" t="str">
        <f t="shared" si="182"/>
        <v>Y</v>
      </c>
      <c r="AT180" t="str">
        <f t="shared" si="182"/>
        <v>Y</v>
      </c>
      <c r="AU180" t="str">
        <f t="shared" si="181"/>
        <v>N</v>
      </c>
      <c r="AV180" t="str">
        <f t="shared" si="181"/>
        <v>N</v>
      </c>
      <c r="AW180" t="str">
        <f>""</f>
        <v/>
      </c>
      <c r="AX180" t="str">
        <f t="shared" si="136"/>
        <v>No</v>
      </c>
      <c r="AY180" t="str">
        <f>""</f>
        <v/>
      </c>
      <c r="AZ180" t="s">
        <v>12</v>
      </c>
      <c r="BA180" t="s">
        <v>110</v>
      </c>
      <c r="BB180" t="s">
        <v>110</v>
      </c>
    </row>
    <row r="181" spans="1:54">
      <c r="A181" s="7" t="str">
        <f t="shared" si="137"/>
        <v>HHZ7VY048E</v>
      </c>
      <c r="B181" s="8" t="e">
        <f t="shared" si="138"/>
        <v>#VALUE!</v>
      </c>
      <c r="C181" t="str">
        <f>"HHZ"</f>
        <v>HHZ</v>
      </c>
      <c r="D181" t="str">
        <f>"7VY"</f>
        <v>7VY</v>
      </c>
      <c r="E181" t="str">
        <f>"HUI HAI LONG 22"</f>
        <v>HUI HAI LONG 22</v>
      </c>
      <c r="F181" t="str">
        <f>""</f>
        <v/>
      </c>
      <c r="G181" t="str">
        <f t="shared" si="133"/>
        <v>OOCL</v>
      </c>
      <c r="H181" t="str">
        <f>""</f>
        <v/>
      </c>
      <c r="I181" t="str">
        <f>"048"</f>
        <v>048</v>
      </c>
      <c r="J181" t="str">
        <f>"E"</f>
        <v>E</v>
      </c>
      <c r="K181" t="str">
        <f>"2"</f>
        <v>2</v>
      </c>
      <c r="L181" t="str">
        <f>"HKG02"</f>
        <v>HKG02</v>
      </c>
      <c r="M181" t="str">
        <f>"HIT - Hongkong International Terminals"</f>
        <v>HIT - Hongkong International Terminals</v>
      </c>
      <c r="N181" t="str">
        <f t="shared" si="134"/>
        <v>HKG</v>
      </c>
      <c r="O181" t="str">
        <f t="shared" si="142"/>
        <v>1</v>
      </c>
      <c r="P181" t="str">
        <f>""</f>
        <v/>
      </c>
      <c r="Q181" t="str">
        <f>"048E"</f>
        <v>048E</v>
      </c>
      <c r="R181" t="str">
        <f>"048E"</f>
        <v>048E</v>
      </c>
      <c r="S181" t="str">
        <f>""</f>
        <v/>
      </c>
      <c r="T181" t="str">
        <f>"04 Aug 2019 12:00"</f>
        <v>04 Aug 2019 12:00</v>
      </c>
      <c r="U181" t="str">
        <f>"04 Aug 2019 14:00"</f>
        <v>04 Aug 2019 14:00</v>
      </c>
      <c r="V181" t="str">
        <f>"2h"</f>
        <v>2h</v>
      </c>
      <c r="W181" t="str">
        <f>"04 Aug 2019 12:00"</f>
        <v>04 Aug 2019 12:00</v>
      </c>
      <c r="X181" t="str">
        <f>""</f>
        <v/>
      </c>
      <c r="Y181" t="str">
        <f>"04 Aug 2019 14:00"</f>
        <v>04 Aug 2019 14:00</v>
      </c>
      <c r="Z181" t="str">
        <f>""</f>
        <v/>
      </c>
      <c r="AA181" t="str">
        <f>""</f>
        <v/>
      </c>
      <c r="AB181" t="str">
        <f t="shared" si="135"/>
        <v>NN</v>
      </c>
      <c r="AC181" t="str">
        <f t="shared" ref="AC181:AC188" si="183">"LL"</f>
        <v>LL</v>
      </c>
      <c r="AD181" t="str">
        <f t="shared" ref="AD181:AE188" si="184">"0"</f>
        <v>0</v>
      </c>
      <c r="AE181" t="str">
        <f t="shared" si="184"/>
        <v>0</v>
      </c>
      <c r="AF181" t="str">
        <f>"04 Aug 2019 14:00"</f>
        <v>04 Aug 2019 14:00</v>
      </c>
      <c r="AG181" t="str">
        <f>"04 Aug 2019 14:00"</f>
        <v>04 Aug 2019 14:00</v>
      </c>
      <c r="AH181" t="str">
        <f>"04 Aug 2019 14:00"</f>
        <v>04 Aug 2019 14:00</v>
      </c>
      <c r="AI181" t="str">
        <f>"04 Aug 2019 14:00"</f>
        <v>04 Aug 2019 14:00</v>
      </c>
      <c r="AJ181" t="str">
        <f>"04 Aug 2019 14:00"</f>
        <v>04 Aug 2019 14:00</v>
      </c>
      <c r="AK181" t="str">
        <f t="shared" ref="AK181:AO183" si="185">"04 Aug 2019 12:00"</f>
        <v>04 Aug 2019 12:00</v>
      </c>
      <c r="AL181" t="str">
        <f t="shared" si="185"/>
        <v>04 Aug 2019 12:00</v>
      </c>
      <c r="AM181" t="str">
        <f t="shared" si="185"/>
        <v>04 Aug 2019 12:00</v>
      </c>
      <c r="AN181" t="str">
        <f t="shared" si="185"/>
        <v>04 Aug 2019 12:00</v>
      </c>
      <c r="AO181" t="str">
        <f t="shared" si="185"/>
        <v>04 Aug 2019 12:00</v>
      </c>
      <c r="AP181" t="str">
        <f>""</f>
        <v/>
      </c>
      <c r="AQ181" t="str">
        <f>"04 Aug 2019 12:00"</f>
        <v>04 Aug 2019 12:00</v>
      </c>
      <c r="AR181" t="str">
        <f t="shared" si="182"/>
        <v>Y</v>
      </c>
      <c r="AS181" t="str">
        <f t="shared" si="182"/>
        <v>Y</v>
      </c>
      <c r="AT181" t="str">
        <f t="shared" si="182"/>
        <v>Y</v>
      </c>
      <c r="AU181" t="str">
        <f t="shared" si="181"/>
        <v>N</v>
      </c>
      <c r="AV181" t="str">
        <f t="shared" si="181"/>
        <v>N</v>
      </c>
      <c r="AW181" t="str">
        <f>""</f>
        <v/>
      </c>
      <c r="AX181" t="str">
        <f t="shared" si="136"/>
        <v>No</v>
      </c>
      <c r="AY181" t="str">
        <f>""</f>
        <v/>
      </c>
      <c r="AZ181" t="s">
        <v>12</v>
      </c>
      <c r="BA181" t="s">
        <v>110</v>
      </c>
      <c r="BB181" t="s">
        <v>110</v>
      </c>
    </row>
    <row r="182" spans="1:54">
      <c r="A182" s="7" t="str">
        <f t="shared" si="137"/>
        <v>HHZ7VY048E</v>
      </c>
      <c r="B182" s="8" t="e">
        <f t="shared" si="138"/>
        <v>#VALUE!</v>
      </c>
      <c r="C182" t="str">
        <f>"HHZ"</f>
        <v>HHZ</v>
      </c>
      <c r="D182" t="str">
        <f>"7VY"</f>
        <v>7VY</v>
      </c>
      <c r="E182" t="str">
        <f>"HUI HAI LONG 22"</f>
        <v>HUI HAI LONG 22</v>
      </c>
      <c r="F182" t="str">
        <f>""</f>
        <v/>
      </c>
      <c r="G182" t="str">
        <f t="shared" si="133"/>
        <v>OOCL</v>
      </c>
      <c r="H182" t="str">
        <f>""</f>
        <v/>
      </c>
      <c r="I182" t="str">
        <f>"048"</f>
        <v>048</v>
      </c>
      <c r="J182" t="str">
        <f>"E"</f>
        <v>E</v>
      </c>
      <c r="K182" t="str">
        <f>"3"</f>
        <v>3</v>
      </c>
      <c r="L182" t="str">
        <f>"HKG13"</f>
        <v>HKG13</v>
      </c>
      <c r="M182" t="str">
        <f>"River Trade Terminal Co., Ltd"</f>
        <v>River Trade Terminal Co., Ltd</v>
      </c>
      <c r="N182" t="str">
        <f t="shared" si="134"/>
        <v>HKG</v>
      </c>
      <c r="O182" t="str">
        <f>"2"</f>
        <v>2</v>
      </c>
      <c r="P182" t="str">
        <f>""</f>
        <v/>
      </c>
      <c r="Q182" t="str">
        <f>"048E"</f>
        <v>048E</v>
      </c>
      <c r="R182" t="str">
        <f>"048E"</f>
        <v>048E</v>
      </c>
      <c r="S182" t="str">
        <f>""</f>
        <v/>
      </c>
      <c r="T182" t="str">
        <f>"04 Aug 2019 18:00"</f>
        <v>04 Aug 2019 18:00</v>
      </c>
      <c r="U182" t="str">
        <f>"04 Aug 2019 20:00"</f>
        <v>04 Aug 2019 20:00</v>
      </c>
      <c r="V182" t="str">
        <f>"2h"</f>
        <v>2h</v>
      </c>
      <c r="W182" t="str">
        <f>"04 Aug 2019 18:00"</f>
        <v>04 Aug 2019 18:00</v>
      </c>
      <c r="X182" t="str">
        <f>""</f>
        <v/>
      </c>
      <c r="Y182" t="str">
        <f>"04 Aug 2019 20:00"</f>
        <v>04 Aug 2019 20:00</v>
      </c>
      <c r="Z182" t="str">
        <f>""</f>
        <v/>
      </c>
      <c r="AA182" t="str">
        <f>""</f>
        <v/>
      </c>
      <c r="AB182" t="str">
        <f t="shared" si="135"/>
        <v>NN</v>
      </c>
      <c r="AC182" t="str">
        <f t="shared" si="183"/>
        <v>LL</v>
      </c>
      <c r="AD182" t="str">
        <f t="shared" si="184"/>
        <v>0</v>
      </c>
      <c r="AE182" t="str">
        <f t="shared" si="184"/>
        <v>0</v>
      </c>
      <c r="AF182" t="str">
        <f>"04 Aug 2019 20:00"</f>
        <v>04 Aug 2019 20:00</v>
      </c>
      <c r="AG182" t="str">
        <f>"04 Aug 2019 20:00"</f>
        <v>04 Aug 2019 20:00</v>
      </c>
      <c r="AH182" t="str">
        <f>"04 Aug 2019 20:00"</f>
        <v>04 Aug 2019 20:00</v>
      </c>
      <c r="AI182" t="str">
        <f>"04 Aug 2019 20:00"</f>
        <v>04 Aug 2019 20:00</v>
      </c>
      <c r="AJ182" t="str">
        <f>"04 Aug 2019 20:00"</f>
        <v>04 Aug 2019 20:00</v>
      </c>
      <c r="AK182" t="str">
        <f t="shared" si="185"/>
        <v>04 Aug 2019 12:00</v>
      </c>
      <c r="AL182" t="str">
        <f t="shared" si="185"/>
        <v>04 Aug 2019 12:00</v>
      </c>
      <c r="AM182" t="str">
        <f t="shared" si="185"/>
        <v>04 Aug 2019 12:00</v>
      </c>
      <c r="AN182" t="str">
        <f t="shared" si="185"/>
        <v>04 Aug 2019 12:00</v>
      </c>
      <c r="AO182" t="str">
        <f t="shared" si="185"/>
        <v>04 Aug 2019 12:00</v>
      </c>
      <c r="AP182" t="str">
        <f>""</f>
        <v/>
      </c>
      <c r="AQ182" t="str">
        <f>"04 Aug 2019 18:00"</f>
        <v>04 Aug 2019 18:00</v>
      </c>
      <c r="AR182" t="str">
        <f t="shared" si="182"/>
        <v>Y</v>
      </c>
      <c r="AS182" t="str">
        <f t="shared" si="182"/>
        <v>Y</v>
      </c>
      <c r="AT182" t="str">
        <f t="shared" si="182"/>
        <v>Y</v>
      </c>
      <c r="AU182" t="str">
        <f t="shared" si="181"/>
        <v>N</v>
      </c>
      <c r="AV182" t="str">
        <f t="shared" si="181"/>
        <v>N</v>
      </c>
      <c r="AW182" t="str">
        <f>""</f>
        <v/>
      </c>
      <c r="AX182" t="str">
        <f t="shared" si="136"/>
        <v>No</v>
      </c>
      <c r="AY182" t="str">
        <f>""</f>
        <v/>
      </c>
      <c r="AZ182" t="s">
        <v>12</v>
      </c>
      <c r="BA182" t="s">
        <v>110</v>
      </c>
      <c r="BB182" t="s">
        <v>110</v>
      </c>
    </row>
    <row r="183" spans="1:54">
      <c r="A183" s="7" t="str">
        <f t="shared" si="137"/>
        <v>HHZ7VY049W</v>
      </c>
      <c r="B183" s="8" t="e">
        <f t="shared" si="138"/>
        <v>#VALUE!</v>
      </c>
      <c r="C183" t="str">
        <f>"HHZ"</f>
        <v>HHZ</v>
      </c>
      <c r="D183" t="str">
        <f>"7VY"</f>
        <v>7VY</v>
      </c>
      <c r="E183" t="str">
        <f>"HUI HAI LONG 22"</f>
        <v>HUI HAI LONG 22</v>
      </c>
      <c r="F183" t="str">
        <f>""</f>
        <v/>
      </c>
      <c r="G183" t="str">
        <f t="shared" si="133"/>
        <v>OOCL</v>
      </c>
      <c r="H183" t="str">
        <f>""</f>
        <v/>
      </c>
      <c r="I183" t="str">
        <f>"049"</f>
        <v>049</v>
      </c>
      <c r="J183" t="str">
        <f>"W"</f>
        <v>W</v>
      </c>
      <c r="K183" t="str">
        <f>"1"</f>
        <v>1</v>
      </c>
      <c r="L183" t="str">
        <f>"HKG02"</f>
        <v>HKG02</v>
      </c>
      <c r="M183" t="str">
        <f>"HIT - Hongkong International Terminals"</f>
        <v>HIT - Hongkong International Terminals</v>
      </c>
      <c r="N183" t="str">
        <f t="shared" si="134"/>
        <v>HKG</v>
      </c>
      <c r="O183" t="str">
        <f>"1"</f>
        <v>1</v>
      </c>
      <c r="P183" t="str">
        <f>""</f>
        <v/>
      </c>
      <c r="Q183" t="str">
        <f>"049W"</f>
        <v>049W</v>
      </c>
      <c r="R183" t="str">
        <f>"049W"</f>
        <v>049W</v>
      </c>
      <c r="S183" t="str">
        <f>""</f>
        <v/>
      </c>
      <c r="T183" t="str">
        <f>"05 Aug 2019 12:00"</f>
        <v>05 Aug 2019 12:00</v>
      </c>
      <c r="U183" t="str">
        <f>"05 Aug 2019 14:00"</f>
        <v>05 Aug 2019 14:00</v>
      </c>
      <c r="V183" t="str">
        <f>"2h"</f>
        <v>2h</v>
      </c>
      <c r="W183" t="str">
        <f>"05 Aug 2019 12:00"</f>
        <v>05 Aug 2019 12:00</v>
      </c>
      <c r="X183" t="str">
        <f>""</f>
        <v/>
      </c>
      <c r="Y183" t="str">
        <f>"05 Aug 2019 14:00"</f>
        <v>05 Aug 2019 14:00</v>
      </c>
      <c r="Z183" t="str">
        <f>""</f>
        <v/>
      </c>
      <c r="AA183" t="str">
        <f>""</f>
        <v/>
      </c>
      <c r="AB183" t="str">
        <f t="shared" si="135"/>
        <v>NN</v>
      </c>
      <c r="AC183" t="str">
        <f t="shared" si="183"/>
        <v>LL</v>
      </c>
      <c r="AD183" t="str">
        <f t="shared" si="184"/>
        <v>0</v>
      </c>
      <c r="AE183" t="str">
        <f t="shared" si="184"/>
        <v>0</v>
      </c>
      <c r="AF183" t="str">
        <f>"05 Aug 2019 14:00"</f>
        <v>05 Aug 2019 14:00</v>
      </c>
      <c r="AG183" t="str">
        <f>"05 Aug 2019 14:00"</f>
        <v>05 Aug 2019 14:00</v>
      </c>
      <c r="AH183" t="str">
        <f>"05 Aug 2019 14:00"</f>
        <v>05 Aug 2019 14:00</v>
      </c>
      <c r="AI183" t="str">
        <f>"05 Aug 2019 14:00"</f>
        <v>05 Aug 2019 14:00</v>
      </c>
      <c r="AJ183" t="str">
        <f>"05 Aug 2019 14:00"</f>
        <v>05 Aug 2019 14:00</v>
      </c>
      <c r="AK183" t="str">
        <f t="shared" si="185"/>
        <v>04 Aug 2019 12:00</v>
      </c>
      <c r="AL183" t="str">
        <f t="shared" si="185"/>
        <v>04 Aug 2019 12:00</v>
      </c>
      <c r="AM183" t="str">
        <f t="shared" si="185"/>
        <v>04 Aug 2019 12:00</v>
      </c>
      <c r="AN183" t="str">
        <f t="shared" si="185"/>
        <v>04 Aug 2019 12:00</v>
      </c>
      <c r="AO183" t="str">
        <f t="shared" si="185"/>
        <v>04 Aug 2019 12:00</v>
      </c>
      <c r="AP183" t="str">
        <f>""</f>
        <v/>
      </c>
      <c r="AQ183" t="str">
        <f>"05 Aug 2019 12:00"</f>
        <v>05 Aug 2019 12:00</v>
      </c>
      <c r="AR183" t="str">
        <f t="shared" si="182"/>
        <v>Y</v>
      </c>
      <c r="AS183" t="str">
        <f t="shared" si="182"/>
        <v>Y</v>
      </c>
      <c r="AT183" t="str">
        <f t="shared" si="182"/>
        <v>Y</v>
      </c>
      <c r="AU183" t="str">
        <f t="shared" si="181"/>
        <v>N</v>
      </c>
      <c r="AV183" t="str">
        <f t="shared" si="181"/>
        <v>N</v>
      </c>
      <c r="AW183" t="str">
        <f>""</f>
        <v/>
      </c>
      <c r="AX183" t="str">
        <f t="shared" si="136"/>
        <v>No</v>
      </c>
      <c r="AY183" t="str">
        <f>""</f>
        <v/>
      </c>
      <c r="AZ183" t="s">
        <v>12</v>
      </c>
      <c r="BA183" t="s">
        <v>110</v>
      </c>
      <c r="BB183" t="s">
        <v>110</v>
      </c>
    </row>
    <row r="184" spans="1:54">
      <c r="A184" s="7" t="str">
        <f t="shared" si="137"/>
        <v>HHZ7VY049W</v>
      </c>
      <c r="B184" s="8" t="e">
        <f t="shared" si="138"/>
        <v>#VALUE!</v>
      </c>
      <c r="C184" t="str">
        <f>"HHZ"</f>
        <v>HHZ</v>
      </c>
      <c r="D184" t="str">
        <f>"7VY"</f>
        <v>7VY</v>
      </c>
      <c r="E184" t="str">
        <f>"HUI HAI LONG 22"</f>
        <v>HUI HAI LONG 22</v>
      </c>
      <c r="F184" t="str">
        <f>""</f>
        <v/>
      </c>
      <c r="G184" t="str">
        <f t="shared" si="133"/>
        <v>OOCL</v>
      </c>
      <c r="H184" t="str">
        <f>""</f>
        <v/>
      </c>
      <c r="I184" t="str">
        <f>"049"</f>
        <v>049</v>
      </c>
      <c r="J184" t="str">
        <f>"W"</f>
        <v>W</v>
      </c>
      <c r="K184" t="str">
        <f>"2"</f>
        <v>2</v>
      </c>
      <c r="L184" t="str">
        <f>"HKG13"</f>
        <v>HKG13</v>
      </c>
      <c r="M184" t="str">
        <f>"River Trade Terminal Co., Ltd"</f>
        <v>River Trade Terminal Co., Ltd</v>
      </c>
      <c r="N184" t="str">
        <f t="shared" si="134"/>
        <v>HKG</v>
      </c>
      <c r="O184" t="str">
        <f>"2"</f>
        <v>2</v>
      </c>
      <c r="P184" t="str">
        <f>""</f>
        <v/>
      </c>
      <c r="Q184" t="str">
        <f>"049W"</f>
        <v>049W</v>
      </c>
      <c r="R184" t="str">
        <f>"049W"</f>
        <v>049W</v>
      </c>
      <c r="S184" t="str">
        <f>""</f>
        <v/>
      </c>
      <c r="T184" t="str">
        <f>"06 Aug 2019 01:00"</f>
        <v>06 Aug 2019 01:00</v>
      </c>
      <c r="U184" t="str">
        <f>"06 Aug 2019 17:00"</f>
        <v>06 Aug 2019 17:00</v>
      </c>
      <c r="V184" t="str">
        <f>"16h"</f>
        <v>16h</v>
      </c>
      <c r="W184" t="str">
        <f>"06 Aug 2019 01:00"</f>
        <v>06 Aug 2019 01:00</v>
      </c>
      <c r="X184" t="str">
        <f>""</f>
        <v/>
      </c>
      <c r="Y184" t="str">
        <f>"06 Aug 2019 17:00"</f>
        <v>06 Aug 2019 17:00</v>
      </c>
      <c r="Z184" t="str">
        <f>""</f>
        <v/>
      </c>
      <c r="AA184" t="str">
        <f>""</f>
        <v/>
      </c>
      <c r="AB184" t="str">
        <f t="shared" si="135"/>
        <v>NN</v>
      </c>
      <c r="AC184" t="str">
        <f t="shared" si="183"/>
        <v>LL</v>
      </c>
      <c r="AD184" t="str">
        <f t="shared" si="184"/>
        <v>0</v>
      </c>
      <c r="AE184" t="str">
        <f t="shared" si="184"/>
        <v>0</v>
      </c>
      <c r="AF184" t="str">
        <f>"06 Aug 2019 18:00"</f>
        <v>06 Aug 2019 18:00</v>
      </c>
      <c r="AG184" t="str">
        <f>"06 Aug 2019 18:00"</f>
        <v>06 Aug 2019 18:00</v>
      </c>
      <c r="AH184" t="str">
        <f>"06 Aug 2019 18:00"</f>
        <v>06 Aug 2019 18:00</v>
      </c>
      <c r="AI184" t="str">
        <f>"06 Aug 2019 18:00"</f>
        <v>06 Aug 2019 18:00</v>
      </c>
      <c r="AJ184" t="str">
        <f>"06 Aug 2019 18:00"</f>
        <v>06 Aug 2019 18:00</v>
      </c>
      <c r="AK184" t="str">
        <f>"06 Aug 2019 01:00"</f>
        <v>06 Aug 2019 01:00</v>
      </c>
      <c r="AL184" t="str">
        <f>"06 Aug 2019 01:00"</f>
        <v>06 Aug 2019 01:00</v>
      </c>
      <c r="AM184" t="str">
        <f>"06 Aug 2019 01:00"</f>
        <v>06 Aug 2019 01:00</v>
      </c>
      <c r="AN184" t="str">
        <f>"06 Aug 2019 01:00"</f>
        <v>06 Aug 2019 01:00</v>
      </c>
      <c r="AO184" t="str">
        <f>"06 Aug 2019 01:00"</f>
        <v>06 Aug 2019 01:00</v>
      </c>
      <c r="AP184" t="str">
        <f>""</f>
        <v/>
      </c>
      <c r="AQ184" t="str">
        <f>"06 Aug 2019 18:00"</f>
        <v>06 Aug 2019 18:00</v>
      </c>
      <c r="AR184" t="str">
        <f t="shared" si="182"/>
        <v>Y</v>
      </c>
      <c r="AS184" t="str">
        <f t="shared" si="182"/>
        <v>Y</v>
      </c>
      <c r="AT184" t="str">
        <f t="shared" si="182"/>
        <v>Y</v>
      </c>
      <c r="AU184" t="str">
        <f t="shared" si="181"/>
        <v>N</v>
      </c>
      <c r="AV184" t="str">
        <f t="shared" si="181"/>
        <v>N</v>
      </c>
      <c r="AW184" t="str">
        <f>""</f>
        <v/>
      </c>
      <c r="AX184" t="str">
        <f t="shared" si="136"/>
        <v>No</v>
      </c>
      <c r="AY184" t="str">
        <f>""</f>
        <v/>
      </c>
      <c r="AZ184" t="s">
        <v>12</v>
      </c>
      <c r="BA184" t="s">
        <v>110</v>
      </c>
      <c r="BB184" t="s">
        <v>110</v>
      </c>
    </row>
    <row r="185" spans="1:54">
      <c r="A185" s="7" t="str">
        <f t="shared" si="137"/>
        <v>HHZ24FN016E</v>
      </c>
      <c r="B185" s="8" t="e">
        <f t="shared" si="138"/>
        <v>#VALUE!</v>
      </c>
      <c r="C185" t="str">
        <f>"HHZ2"</f>
        <v>HHZ2</v>
      </c>
      <c r="D185" t="str">
        <f>"4FN"</f>
        <v>4FN</v>
      </c>
      <c r="E185" t="str">
        <f>"NAN HONG 939"</f>
        <v>NAN HONG 939</v>
      </c>
      <c r="F185" t="str">
        <f>"USAS"</f>
        <v>USAS</v>
      </c>
      <c r="G185" t="str">
        <f t="shared" si="133"/>
        <v>OOCL</v>
      </c>
      <c r="H185" t="str">
        <f>""</f>
        <v/>
      </c>
      <c r="I185" t="str">
        <f>"016"</f>
        <v>016</v>
      </c>
      <c r="J185" t="str">
        <f>"E"</f>
        <v>E</v>
      </c>
      <c r="K185" t="str">
        <f>"2"</f>
        <v>2</v>
      </c>
      <c r="L185" t="str">
        <f>"HKG13"</f>
        <v>HKG13</v>
      </c>
      <c r="M185" t="str">
        <f>"River Trade Terminal Co., Ltd"</f>
        <v>River Trade Terminal Co., Ltd</v>
      </c>
      <c r="N185" t="str">
        <f t="shared" si="134"/>
        <v>HKG</v>
      </c>
      <c r="O185" t="str">
        <f>"1"</f>
        <v>1</v>
      </c>
      <c r="P185" t="str">
        <f>""</f>
        <v/>
      </c>
      <c r="Q185" t="str">
        <f>"016E"</f>
        <v>016E</v>
      </c>
      <c r="R185" t="str">
        <f>"016E"</f>
        <v>016E</v>
      </c>
      <c r="S185" t="str">
        <f>""</f>
        <v/>
      </c>
      <c r="T185" t="str">
        <f>"05 Aug 2019 04:00"</f>
        <v>05 Aug 2019 04:00</v>
      </c>
      <c r="U185" t="str">
        <f>"05 Aug 2019 05:00"</f>
        <v>05 Aug 2019 05:00</v>
      </c>
      <c r="V185" t="str">
        <f>"1h"</f>
        <v>1h</v>
      </c>
      <c r="W185" t="str">
        <f>"05 Aug 2019 04:00"</f>
        <v>05 Aug 2019 04:00</v>
      </c>
      <c r="X185" t="str">
        <f>""</f>
        <v/>
      </c>
      <c r="Y185" t="str">
        <f>"05 Aug 2019 05:00"</f>
        <v>05 Aug 2019 05:00</v>
      </c>
      <c r="Z185" t="str">
        <f>""</f>
        <v/>
      </c>
      <c r="AA185" t="str">
        <f>""</f>
        <v/>
      </c>
      <c r="AB185" t="str">
        <f t="shared" si="135"/>
        <v>NN</v>
      </c>
      <c r="AC185" t="str">
        <f t="shared" si="183"/>
        <v>LL</v>
      </c>
      <c r="AD185" t="str">
        <f t="shared" si="184"/>
        <v>0</v>
      </c>
      <c r="AE185" t="str">
        <f t="shared" si="184"/>
        <v>0</v>
      </c>
      <c r="AF185" t="str">
        <f t="shared" ref="AF185:AJ187" si="186">"06 Aug 2019 12:00"</f>
        <v>06 Aug 2019 12:00</v>
      </c>
      <c r="AG185" t="str">
        <f t="shared" si="186"/>
        <v>06 Aug 2019 12:00</v>
      </c>
      <c r="AH185" t="str">
        <f t="shared" si="186"/>
        <v>06 Aug 2019 12:00</v>
      </c>
      <c r="AI185" t="str">
        <f t="shared" si="186"/>
        <v>06 Aug 2019 12:00</v>
      </c>
      <c r="AJ185" t="str">
        <f t="shared" si="186"/>
        <v>06 Aug 2019 12:00</v>
      </c>
      <c r="AK185" t="str">
        <f>"04 Aug 2019 17:00"</f>
        <v>04 Aug 2019 17:00</v>
      </c>
      <c r="AL185" t="str">
        <f>"04 Aug 2019 17:00"</f>
        <v>04 Aug 2019 17:00</v>
      </c>
      <c r="AM185" t="str">
        <f>"04 Aug 2019 17:00"</f>
        <v>04 Aug 2019 17:00</v>
      </c>
      <c r="AN185" t="str">
        <f>"04 Aug 2019 17:00"</f>
        <v>04 Aug 2019 17:00</v>
      </c>
      <c r="AO185" t="str">
        <f>"04 Aug 2019 17:00"</f>
        <v>04 Aug 2019 17:00</v>
      </c>
      <c r="AP185" t="str">
        <f>""</f>
        <v/>
      </c>
      <c r="AQ185" t="str">
        <f>"05 Aug 2019 04:00"</f>
        <v>05 Aug 2019 04:00</v>
      </c>
      <c r="AR185" t="str">
        <f t="shared" si="182"/>
        <v>Y</v>
      </c>
      <c r="AS185" t="str">
        <f t="shared" si="182"/>
        <v>Y</v>
      </c>
      <c r="AT185" t="str">
        <f t="shared" si="182"/>
        <v>Y</v>
      </c>
      <c r="AU185" t="str">
        <f t="shared" si="181"/>
        <v>N</v>
      </c>
      <c r="AV185" t="str">
        <f t="shared" si="181"/>
        <v>N</v>
      </c>
      <c r="AW185" t="str">
        <f>""</f>
        <v/>
      </c>
      <c r="AX185" t="str">
        <f t="shared" si="136"/>
        <v>No</v>
      </c>
      <c r="AY185" t="str">
        <f>""</f>
        <v/>
      </c>
      <c r="AZ185" t="s">
        <v>12</v>
      </c>
      <c r="BA185" t="s">
        <v>110</v>
      </c>
      <c r="BB185" t="s">
        <v>110</v>
      </c>
    </row>
    <row r="186" spans="1:54">
      <c r="A186" s="7" t="str">
        <f t="shared" si="137"/>
        <v>HHZ24FN017W</v>
      </c>
      <c r="B186" s="8" t="e">
        <f t="shared" si="138"/>
        <v>#VALUE!</v>
      </c>
      <c r="C186" t="str">
        <f>"HHZ2"</f>
        <v>HHZ2</v>
      </c>
      <c r="D186" t="str">
        <f>"4FN"</f>
        <v>4FN</v>
      </c>
      <c r="E186" t="str">
        <f>"NAN HONG 939"</f>
        <v>NAN HONG 939</v>
      </c>
      <c r="F186" t="str">
        <f>"USAS"</f>
        <v>USAS</v>
      </c>
      <c r="G186" t="str">
        <f t="shared" si="133"/>
        <v>OOCL</v>
      </c>
      <c r="H186" t="str">
        <f>""</f>
        <v/>
      </c>
      <c r="I186" t="str">
        <f>"016"</f>
        <v>016</v>
      </c>
      <c r="J186" t="str">
        <f>"E"</f>
        <v>E</v>
      </c>
      <c r="K186" t="str">
        <f>"3"</f>
        <v>3</v>
      </c>
      <c r="L186" t="str">
        <f>"HKG02"</f>
        <v>HKG02</v>
      </c>
      <c r="M186" t="str">
        <f>"HIT - Hongkong International Terminals"</f>
        <v>HIT - Hongkong International Terminals</v>
      </c>
      <c r="N186" t="str">
        <f t="shared" si="134"/>
        <v>HKG</v>
      </c>
      <c r="O186" t="str">
        <f>"2"</f>
        <v>2</v>
      </c>
      <c r="P186" t="str">
        <f>""</f>
        <v/>
      </c>
      <c r="Q186" t="str">
        <f>"016E"</f>
        <v>016E</v>
      </c>
      <c r="R186" t="str">
        <f>"017W"</f>
        <v>017W</v>
      </c>
      <c r="S186" t="str">
        <f>""</f>
        <v/>
      </c>
      <c r="T186" t="str">
        <f>"05 Aug 2019 16:00"</f>
        <v>05 Aug 2019 16:00</v>
      </c>
      <c r="U186" t="str">
        <f>"06 Aug 2019 11:00"</f>
        <v>06 Aug 2019 11:00</v>
      </c>
      <c r="V186" t="str">
        <f>"19h"</f>
        <v>19h</v>
      </c>
      <c r="W186" t="str">
        <f>"05 Aug 2019 16:00"</f>
        <v>05 Aug 2019 16:00</v>
      </c>
      <c r="X186" t="str">
        <f>""</f>
        <v/>
      </c>
      <c r="Y186" t="str">
        <f>"06 Aug 2019 11:00"</f>
        <v>06 Aug 2019 11:00</v>
      </c>
      <c r="Z186" t="str">
        <f>""</f>
        <v/>
      </c>
      <c r="AA186" t="str">
        <f>""</f>
        <v/>
      </c>
      <c r="AB186" t="str">
        <f t="shared" si="135"/>
        <v>NN</v>
      </c>
      <c r="AC186" t="str">
        <f t="shared" si="183"/>
        <v>LL</v>
      </c>
      <c r="AD186" t="str">
        <f t="shared" si="184"/>
        <v>0</v>
      </c>
      <c r="AE186" t="str">
        <f t="shared" si="184"/>
        <v>0</v>
      </c>
      <c r="AF186" t="str">
        <f t="shared" si="186"/>
        <v>06 Aug 2019 12:00</v>
      </c>
      <c r="AG186" t="str">
        <f t="shared" si="186"/>
        <v>06 Aug 2019 12:00</v>
      </c>
      <c r="AH186" t="str">
        <f t="shared" si="186"/>
        <v>06 Aug 2019 12:00</v>
      </c>
      <c r="AI186" t="str">
        <f t="shared" si="186"/>
        <v>06 Aug 2019 12:00</v>
      </c>
      <c r="AJ186" t="str">
        <f t="shared" si="186"/>
        <v>06 Aug 2019 12:00</v>
      </c>
      <c r="AK186" t="str">
        <f t="shared" ref="AK186:AO187" si="187">"05 Aug 2019 16:00"</f>
        <v>05 Aug 2019 16:00</v>
      </c>
      <c r="AL186" t="str">
        <f t="shared" si="187"/>
        <v>05 Aug 2019 16:00</v>
      </c>
      <c r="AM186" t="str">
        <f t="shared" si="187"/>
        <v>05 Aug 2019 16:00</v>
      </c>
      <c r="AN186" t="str">
        <f t="shared" si="187"/>
        <v>05 Aug 2019 16:00</v>
      </c>
      <c r="AO186" t="str">
        <f t="shared" si="187"/>
        <v>05 Aug 2019 16:00</v>
      </c>
      <c r="AP186" t="str">
        <f>""</f>
        <v/>
      </c>
      <c r="AQ186" t="str">
        <f>"06 Aug 2019 12:00"</f>
        <v>06 Aug 2019 12:00</v>
      </c>
      <c r="AR186" t="str">
        <f t="shared" si="182"/>
        <v>Y</v>
      </c>
      <c r="AS186" t="str">
        <f t="shared" si="182"/>
        <v>Y</v>
      </c>
      <c r="AT186" t="str">
        <f t="shared" si="182"/>
        <v>Y</v>
      </c>
      <c r="AU186" t="str">
        <f t="shared" si="181"/>
        <v>N</v>
      </c>
      <c r="AV186" t="str">
        <f t="shared" si="181"/>
        <v>N</v>
      </c>
      <c r="AW186" t="str">
        <f>""</f>
        <v/>
      </c>
      <c r="AX186" t="str">
        <f t="shared" si="136"/>
        <v>No</v>
      </c>
      <c r="AY186" t="str">
        <f>""</f>
        <v/>
      </c>
      <c r="AZ186" t="s">
        <v>12</v>
      </c>
      <c r="BA186" t="s">
        <v>110</v>
      </c>
      <c r="BB186" t="s">
        <v>110</v>
      </c>
    </row>
    <row r="187" spans="1:54">
      <c r="A187" s="7" t="str">
        <f t="shared" si="137"/>
        <v>HHZ24FN017W</v>
      </c>
      <c r="B187" s="8" t="e">
        <f t="shared" si="138"/>
        <v>#VALUE!</v>
      </c>
      <c r="C187" t="str">
        <f>"HHZ2"</f>
        <v>HHZ2</v>
      </c>
      <c r="D187" t="str">
        <f>"4FN"</f>
        <v>4FN</v>
      </c>
      <c r="E187" t="str">
        <f>"NAN HONG 939"</f>
        <v>NAN HONG 939</v>
      </c>
      <c r="F187" t="str">
        <f>"USAS"</f>
        <v>USAS</v>
      </c>
      <c r="G187" t="str">
        <f t="shared" si="133"/>
        <v>OOCL</v>
      </c>
      <c r="H187" t="str">
        <f>""</f>
        <v/>
      </c>
      <c r="I187" t="str">
        <f>"017"</f>
        <v>017</v>
      </c>
      <c r="J187" t="str">
        <f>"W"</f>
        <v>W</v>
      </c>
      <c r="K187" t="str">
        <f>"1"</f>
        <v>1</v>
      </c>
      <c r="L187" t="str">
        <f>"HKG02"</f>
        <v>HKG02</v>
      </c>
      <c r="M187" t="str">
        <f>"HIT - Hongkong International Terminals"</f>
        <v>HIT - Hongkong International Terminals</v>
      </c>
      <c r="N187" t="str">
        <f t="shared" si="134"/>
        <v>HKG</v>
      </c>
      <c r="O187" t="str">
        <f>"1"</f>
        <v>1</v>
      </c>
      <c r="P187" t="str">
        <f>""</f>
        <v/>
      </c>
      <c r="Q187" t="str">
        <f>"016E"</f>
        <v>016E</v>
      </c>
      <c r="R187" t="str">
        <f>"017W"</f>
        <v>017W</v>
      </c>
      <c r="S187" t="str">
        <f>""</f>
        <v/>
      </c>
      <c r="T187" t="str">
        <f>"05 Aug 2019 16:00"</f>
        <v>05 Aug 2019 16:00</v>
      </c>
      <c r="U187" t="str">
        <f>"06 Aug 2019 11:00"</f>
        <v>06 Aug 2019 11:00</v>
      </c>
      <c r="V187" t="str">
        <f>"19h"</f>
        <v>19h</v>
      </c>
      <c r="W187" t="str">
        <f>"05 Aug 2019 16:00"</f>
        <v>05 Aug 2019 16:00</v>
      </c>
      <c r="X187" t="str">
        <f>""</f>
        <v/>
      </c>
      <c r="Y187" t="str">
        <f>"06 Aug 2019 11:00"</f>
        <v>06 Aug 2019 11:00</v>
      </c>
      <c r="Z187" t="str">
        <f>""</f>
        <v/>
      </c>
      <c r="AA187" t="str">
        <f>""</f>
        <v/>
      </c>
      <c r="AB187" t="str">
        <f t="shared" si="135"/>
        <v>NN</v>
      </c>
      <c r="AC187" t="str">
        <f t="shared" si="183"/>
        <v>LL</v>
      </c>
      <c r="AD187" t="str">
        <f t="shared" si="184"/>
        <v>0</v>
      </c>
      <c r="AE187" t="str">
        <f t="shared" si="184"/>
        <v>0</v>
      </c>
      <c r="AF187" t="str">
        <f t="shared" si="186"/>
        <v>06 Aug 2019 12:00</v>
      </c>
      <c r="AG187" t="str">
        <f t="shared" si="186"/>
        <v>06 Aug 2019 12:00</v>
      </c>
      <c r="AH187" t="str">
        <f t="shared" si="186"/>
        <v>06 Aug 2019 12:00</v>
      </c>
      <c r="AI187" t="str">
        <f t="shared" si="186"/>
        <v>06 Aug 2019 12:00</v>
      </c>
      <c r="AJ187" t="str">
        <f t="shared" si="186"/>
        <v>06 Aug 2019 12:00</v>
      </c>
      <c r="AK187" t="str">
        <f t="shared" si="187"/>
        <v>05 Aug 2019 16:00</v>
      </c>
      <c r="AL187" t="str">
        <f t="shared" si="187"/>
        <v>05 Aug 2019 16:00</v>
      </c>
      <c r="AM187" t="str">
        <f t="shared" si="187"/>
        <v>05 Aug 2019 16:00</v>
      </c>
      <c r="AN187" t="str">
        <f t="shared" si="187"/>
        <v>05 Aug 2019 16:00</v>
      </c>
      <c r="AO187" t="str">
        <f t="shared" si="187"/>
        <v>05 Aug 2019 16:00</v>
      </c>
      <c r="AP187" t="str">
        <f>""</f>
        <v/>
      </c>
      <c r="AQ187" t="str">
        <f>"06 Aug 2019 12:00"</f>
        <v>06 Aug 2019 12:00</v>
      </c>
      <c r="AR187" t="str">
        <f t="shared" si="182"/>
        <v>Y</v>
      </c>
      <c r="AS187" t="str">
        <f t="shared" si="182"/>
        <v>Y</v>
      </c>
      <c r="AT187" t="str">
        <f t="shared" si="182"/>
        <v>Y</v>
      </c>
      <c r="AU187" t="str">
        <f t="shared" si="181"/>
        <v>N</v>
      </c>
      <c r="AV187" t="str">
        <f t="shared" si="181"/>
        <v>N</v>
      </c>
      <c r="AW187" t="str">
        <f>""</f>
        <v/>
      </c>
      <c r="AX187" t="str">
        <f t="shared" si="136"/>
        <v>No</v>
      </c>
      <c r="AY187" t="str">
        <f>""</f>
        <v/>
      </c>
      <c r="AZ187" t="s">
        <v>12</v>
      </c>
      <c r="BA187" t="s">
        <v>110</v>
      </c>
      <c r="BB187" t="s">
        <v>110</v>
      </c>
    </row>
    <row r="188" spans="1:54">
      <c r="A188" s="7" t="str">
        <f t="shared" si="137"/>
        <v>HHZ24FN017W</v>
      </c>
      <c r="B188" s="8" t="e">
        <f t="shared" si="138"/>
        <v>#VALUE!</v>
      </c>
      <c r="C188" t="str">
        <f>"HHZ2"</f>
        <v>HHZ2</v>
      </c>
      <c r="D188" t="str">
        <f>"4FN"</f>
        <v>4FN</v>
      </c>
      <c r="E188" t="str">
        <f>"NAN HONG 939"</f>
        <v>NAN HONG 939</v>
      </c>
      <c r="F188" t="str">
        <f>"USAS"</f>
        <v>USAS</v>
      </c>
      <c r="G188" t="str">
        <f t="shared" si="133"/>
        <v>OOCL</v>
      </c>
      <c r="H188" t="str">
        <f>""</f>
        <v/>
      </c>
      <c r="I188" t="str">
        <f>"017"</f>
        <v>017</v>
      </c>
      <c r="J188" t="str">
        <f>"W"</f>
        <v>W</v>
      </c>
      <c r="K188" t="str">
        <f>"2"</f>
        <v>2</v>
      </c>
      <c r="L188" t="str">
        <f>"HKG13"</f>
        <v>HKG13</v>
      </c>
      <c r="M188" t="str">
        <f>"River Trade Terminal Co., Ltd"</f>
        <v>River Trade Terminal Co., Ltd</v>
      </c>
      <c r="N188" t="str">
        <f t="shared" si="134"/>
        <v>HKG</v>
      </c>
      <c r="O188" t="str">
        <f>"2"</f>
        <v>2</v>
      </c>
      <c r="P188" t="str">
        <f>""</f>
        <v/>
      </c>
      <c r="Q188" t="str">
        <f>"017W"</f>
        <v>017W</v>
      </c>
      <c r="R188" t="str">
        <f>"017W"</f>
        <v>017W</v>
      </c>
      <c r="S188" t="str">
        <f>""</f>
        <v/>
      </c>
      <c r="T188" t="str">
        <f>"06 Aug 2019 15:00"</f>
        <v>06 Aug 2019 15:00</v>
      </c>
      <c r="U188" t="str">
        <f>"06 Aug 2019 23:00"</f>
        <v>06 Aug 2019 23:00</v>
      </c>
      <c r="V188" t="str">
        <f>"8h"</f>
        <v>8h</v>
      </c>
      <c r="W188" t="str">
        <f>"06 Aug 2019 15:00"</f>
        <v>06 Aug 2019 15:00</v>
      </c>
      <c r="X188" t="str">
        <f>""</f>
        <v/>
      </c>
      <c r="Y188" t="str">
        <f>"06 Aug 2019 23:00"</f>
        <v>06 Aug 2019 23:00</v>
      </c>
      <c r="Z188" t="str">
        <f>""</f>
        <v/>
      </c>
      <c r="AA188" t="str">
        <f>""</f>
        <v/>
      </c>
      <c r="AB188" t="str">
        <f t="shared" si="135"/>
        <v>NN</v>
      </c>
      <c r="AC188" t="str">
        <f t="shared" si="183"/>
        <v>LL</v>
      </c>
      <c r="AD188" t="str">
        <f t="shared" si="184"/>
        <v>0</v>
      </c>
      <c r="AE188" t="str">
        <f t="shared" si="184"/>
        <v>0</v>
      </c>
      <c r="AF188" t="str">
        <f>"07 Aug 2019 00:00"</f>
        <v>07 Aug 2019 00:00</v>
      </c>
      <c r="AG188" t="str">
        <f>"07 Aug 2019 00:00"</f>
        <v>07 Aug 2019 00:00</v>
      </c>
      <c r="AH188" t="str">
        <f>"07 Aug 2019 00:00"</f>
        <v>07 Aug 2019 00:00</v>
      </c>
      <c r="AI188" t="str">
        <f>"07 Aug 2019 00:00"</f>
        <v>07 Aug 2019 00:00</v>
      </c>
      <c r="AJ188" t="str">
        <f>"07 Aug 2019 00:00"</f>
        <v>07 Aug 2019 00:00</v>
      </c>
      <c r="AK188" t="str">
        <f>"06 Aug 2019 15:00"</f>
        <v>06 Aug 2019 15:00</v>
      </c>
      <c r="AL188" t="str">
        <f>"06 Aug 2019 15:00"</f>
        <v>06 Aug 2019 15:00</v>
      </c>
      <c r="AM188" t="str">
        <f>"06 Aug 2019 15:00"</f>
        <v>06 Aug 2019 15:00</v>
      </c>
      <c r="AN188" t="str">
        <f>"06 Aug 2019 15:00"</f>
        <v>06 Aug 2019 15:00</v>
      </c>
      <c r="AO188" t="str">
        <f>"06 Aug 2019 15:00"</f>
        <v>06 Aug 2019 15:00</v>
      </c>
      <c r="AP188" t="str">
        <f>""</f>
        <v/>
      </c>
      <c r="AQ188" t="str">
        <f>"07 Aug 2019 00:00"</f>
        <v>07 Aug 2019 00:00</v>
      </c>
      <c r="AR188" t="str">
        <f t="shared" si="182"/>
        <v>Y</v>
      </c>
      <c r="AS188" t="str">
        <f t="shared" si="182"/>
        <v>Y</v>
      </c>
      <c r="AT188" t="str">
        <f t="shared" si="182"/>
        <v>Y</v>
      </c>
      <c r="AU188" t="str">
        <f t="shared" si="181"/>
        <v>N</v>
      </c>
      <c r="AV188" t="str">
        <f t="shared" si="181"/>
        <v>N</v>
      </c>
      <c r="AW188" t="str">
        <f>""</f>
        <v/>
      </c>
      <c r="AX188" t="str">
        <f t="shared" si="136"/>
        <v>No</v>
      </c>
      <c r="AY188" t="str">
        <f>""</f>
        <v/>
      </c>
      <c r="AZ188" t="s">
        <v>12</v>
      </c>
      <c r="BA188" t="s">
        <v>110</v>
      </c>
      <c r="BB188" t="s">
        <v>110</v>
      </c>
    </row>
    <row r="189" spans="1:54">
      <c r="A189" s="7" t="str">
        <f t="shared" si="137"/>
        <v>JCVMYH1720S</v>
      </c>
      <c r="B189" s="8">
        <f t="shared" si="138"/>
        <v>43678.708333333336</v>
      </c>
      <c r="C189" t="str">
        <f>"JCV"</f>
        <v>JCV</v>
      </c>
      <c r="D189" t="str">
        <f>"MYH"</f>
        <v>MYH</v>
      </c>
      <c r="E189" t="str">
        <f>"MIYUNHE"</f>
        <v>MIYUNHE</v>
      </c>
      <c r="F189" t="str">
        <f>"COSCO"</f>
        <v>COSCO</v>
      </c>
      <c r="G189" t="str">
        <f t="shared" si="133"/>
        <v>OOCL</v>
      </c>
      <c r="H189" t="str">
        <f>""</f>
        <v/>
      </c>
      <c r="I189" t="str">
        <f>"720"</f>
        <v>720</v>
      </c>
      <c r="J189" t="str">
        <f>"S"</f>
        <v>S</v>
      </c>
      <c r="K189" t="str">
        <f>"7"</f>
        <v>7</v>
      </c>
      <c r="L189" t="str">
        <f t="shared" ref="L189:L196" si="188">"HKG02"</f>
        <v>HKG02</v>
      </c>
      <c r="M189" t="str">
        <f t="shared" ref="M189:M196" si="189">"HIT - Hongkong International Terminals"</f>
        <v>HIT - Hongkong International Terminals</v>
      </c>
      <c r="N189" t="str">
        <f t="shared" si="134"/>
        <v>HKG</v>
      </c>
      <c r="O189" t="str">
        <f t="shared" ref="O189:O209" si="190">"1"</f>
        <v>1</v>
      </c>
      <c r="P189" t="str">
        <f>"H3YW"</f>
        <v>H3YW</v>
      </c>
      <c r="Q189" t="str">
        <f>"1720S"</f>
        <v>1720S</v>
      </c>
      <c r="R189" t="str">
        <f>"1720S"</f>
        <v>1720S</v>
      </c>
      <c r="S189" t="str">
        <f>"CHT"</f>
        <v>CHT</v>
      </c>
      <c r="T189" t="str">
        <f>"02 Aug 2019 13:00"</f>
        <v>02 Aug 2019 13:00</v>
      </c>
      <c r="U189" t="str">
        <f>"03 Aug 2019 01:00"</f>
        <v>03 Aug 2019 01:00</v>
      </c>
      <c r="V189" t="str">
        <f>"12h"</f>
        <v>12h</v>
      </c>
      <c r="W189" t="str">
        <f>"03 Aug 2019 13:00"</f>
        <v>03 Aug 2019 13:00</v>
      </c>
      <c r="X189" t="str">
        <f>""</f>
        <v/>
      </c>
      <c r="Y189" t="str">
        <f>"04 Aug 2019 01:00"</f>
        <v>04 Aug 2019 01:00</v>
      </c>
      <c r="Z189" t="str">
        <f>""</f>
        <v/>
      </c>
      <c r="AA189" t="str">
        <f>""</f>
        <v/>
      </c>
      <c r="AB189" t="str">
        <f t="shared" si="135"/>
        <v>NN</v>
      </c>
      <c r="AC189" t="str">
        <f>"CC"</f>
        <v>CC</v>
      </c>
      <c r="AD189" t="str">
        <f>"24"</f>
        <v>24</v>
      </c>
      <c r="AE189" t="str">
        <f>"24"</f>
        <v>24</v>
      </c>
      <c r="AF189" t="str">
        <f>"04 Aug 2019 13:00"</f>
        <v>04 Aug 2019 13:00</v>
      </c>
      <c r="AG189" t="str">
        <f>"04 Aug 2019 13:00"</f>
        <v>04 Aug 2019 13:00</v>
      </c>
      <c r="AH189" t="str">
        <f>"04 Aug 2019 13:00"</f>
        <v>04 Aug 2019 13:00</v>
      </c>
      <c r="AI189" t="str">
        <f>"04 Aug 2019 13:00"</f>
        <v>04 Aug 2019 13:00</v>
      </c>
      <c r="AJ189" t="str">
        <f>"04 Aug 2019 13:00"</f>
        <v>04 Aug 2019 13:00</v>
      </c>
      <c r="AK189" t="str">
        <f t="shared" ref="AK189:AP189" si="191">"01 Aug 2019 17:00"</f>
        <v>01 Aug 2019 17:00</v>
      </c>
      <c r="AL189" t="str">
        <f t="shared" si="191"/>
        <v>01 Aug 2019 17:00</v>
      </c>
      <c r="AM189" t="str">
        <f t="shared" si="191"/>
        <v>01 Aug 2019 17:00</v>
      </c>
      <c r="AN189" t="str">
        <f t="shared" si="191"/>
        <v>01 Aug 2019 17:00</v>
      </c>
      <c r="AO189" t="str">
        <f t="shared" si="191"/>
        <v>01 Aug 2019 17:00</v>
      </c>
      <c r="AP189" t="str">
        <f t="shared" si="191"/>
        <v>01 Aug 2019 17:00</v>
      </c>
      <c r="AQ189" t="str">
        <f>"04 Aug 2019 01:00"</f>
        <v>04 Aug 2019 01:00</v>
      </c>
      <c r="AR189" t="str">
        <f t="shared" si="182"/>
        <v>Y</v>
      </c>
      <c r="AS189" t="str">
        <f t="shared" si="182"/>
        <v>Y</v>
      </c>
      <c r="AT189" t="str">
        <f t="shared" si="182"/>
        <v>Y</v>
      </c>
      <c r="AU189" t="str">
        <f t="shared" si="181"/>
        <v>N</v>
      </c>
      <c r="AV189" t="str">
        <f t="shared" si="181"/>
        <v>N</v>
      </c>
      <c r="AW189" t="str">
        <f>""</f>
        <v/>
      </c>
      <c r="AX189" t="str">
        <f t="shared" si="136"/>
        <v>No</v>
      </c>
      <c r="AY189" t="str">
        <f>""</f>
        <v/>
      </c>
      <c r="AZ189" t="s">
        <v>12</v>
      </c>
      <c r="BA189" t="s">
        <v>110</v>
      </c>
      <c r="BB189" t="s">
        <v>110</v>
      </c>
    </row>
    <row r="190" spans="1:54">
      <c r="A190" s="7" t="str">
        <f t="shared" si="137"/>
        <v>JKHWAQN491</v>
      </c>
      <c r="B190" s="8">
        <f t="shared" si="138"/>
        <v>43679.75</v>
      </c>
      <c r="C190" t="str">
        <f>"JKH"</f>
        <v>JKH</v>
      </c>
      <c r="D190" t="str">
        <f>"WAQ"</f>
        <v>WAQ</v>
      </c>
      <c r="E190" t="str">
        <f>"WAN HAI 205"</f>
        <v>WAN HAI 205</v>
      </c>
      <c r="F190" t="str">
        <f>"WHL"</f>
        <v>WHL</v>
      </c>
      <c r="G190" t="str">
        <f t="shared" si="133"/>
        <v>OOCL</v>
      </c>
      <c r="H190" t="str">
        <f>""</f>
        <v/>
      </c>
      <c r="I190" t="str">
        <f>"491"</f>
        <v>491</v>
      </c>
      <c r="J190" t="str">
        <f>"N"</f>
        <v>N</v>
      </c>
      <c r="K190" t="str">
        <f>"2"</f>
        <v>2</v>
      </c>
      <c r="L190" t="str">
        <f t="shared" si="188"/>
        <v>HKG02</v>
      </c>
      <c r="M190" t="str">
        <f t="shared" si="189"/>
        <v>HIT - Hongkong International Terminals</v>
      </c>
      <c r="N190" t="str">
        <f t="shared" si="134"/>
        <v>HKG</v>
      </c>
      <c r="O190" t="str">
        <f t="shared" si="190"/>
        <v>1</v>
      </c>
      <c r="P190" t="str">
        <f>"S6BV5"</f>
        <v>S6BV5</v>
      </c>
      <c r="Q190" t="str">
        <f>"N491"</f>
        <v>N491</v>
      </c>
      <c r="R190" t="str">
        <f>"N491"</f>
        <v>N491</v>
      </c>
      <c r="S190" t="str">
        <f>""</f>
        <v/>
      </c>
      <c r="T190" t="str">
        <f>"02 Aug 2019 20:00"</f>
        <v>02 Aug 2019 20:00</v>
      </c>
      <c r="U190" t="str">
        <f>"03 Aug 2019 07:00"</f>
        <v>03 Aug 2019 07:00</v>
      </c>
      <c r="V190" t="str">
        <f>"11h"</f>
        <v>11h</v>
      </c>
      <c r="W190" t="str">
        <f>"03 Aug 2019 15:00"</f>
        <v>03 Aug 2019 15:00</v>
      </c>
      <c r="X190" t="str">
        <f>""</f>
        <v/>
      </c>
      <c r="Y190" t="str">
        <f>"03 Aug 2019 23:30"</f>
        <v>03 Aug 2019 23:30</v>
      </c>
      <c r="Z190" t="str">
        <f>""</f>
        <v/>
      </c>
      <c r="AA190" t="str">
        <f>""</f>
        <v/>
      </c>
      <c r="AB190" t="str">
        <f t="shared" si="135"/>
        <v>NN</v>
      </c>
      <c r="AC190" t="str">
        <f>"CC"</f>
        <v>CC</v>
      </c>
      <c r="AD190" t="str">
        <f>"19"</f>
        <v>19</v>
      </c>
      <c r="AE190" t="str">
        <f>"17"</f>
        <v>17</v>
      </c>
      <c r="AF190" t="str">
        <f>"04 Aug 2019 15:00"</f>
        <v>04 Aug 2019 15:00</v>
      </c>
      <c r="AG190" t="str">
        <f>"04 Aug 2019 15:00"</f>
        <v>04 Aug 2019 15:00</v>
      </c>
      <c r="AH190" t="str">
        <f>"04 Aug 2019 15:00"</f>
        <v>04 Aug 2019 15:00</v>
      </c>
      <c r="AI190" t="str">
        <f>"04 Aug 2019 15:00"</f>
        <v>04 Aug 2019 15:00</v>
      </c>
      <c r="AJ190" t="str">
        <f>"04 Aug 2019 15:00"</f>
        <v>04 Aug 2019 15:00</v>
      </c>
      <c r="AK190" t="str">
        <f>"02 Aug 2019 23:00"</f>
        <v>02 Aug 2019 23:00</v>
      </c>
      <c r="AL190" t="str">
        <f>"02 Aug 2019 23:00"</f>
        <v>02 Aug 2019 23:00</v>
      </c>
      <c r="AM190" t="str">
        <f>"02 Aug 2019 23:00"</f>
        <v>02 Aug 2019 23:00</v>
      </c>
      <c r="AN190" t="str">
        <f>"02 Aug 2019 23:00"</f>
        <v>02 Aug 2019 23:00</v>
      </c>
      <c r="AO190" t="str">
        <f>"02 Aug 2019 23:00"</f>
        <v>02 Aug 2019 23:00</v>
      </c>
      <c r="AP190" t="str">
        <f>"02 Aug 2019 18:00"</f>
        <v>02 Aug 2019 18:00</v>
      </c>
      <c r="AQ190" t="str">
        <f>"03 Aug 2019 23:30"</f>
        <v>03 Aug 2019 23:30</v>
      </c>
      <c r="AR190" t="str">
        <f t="shared" si="182"/>
        <v>Y</v>
      </c>
      <c r="AS190" t="str">
        <f t="shared" si="182"/>
        <v>Y</v>
      </c>
      <c r="AT190" t="str">
        <f t="shared" si="182"/>
        <v>Y</v>
      </c>
      <c r="AU190" t="str">
        <f t="shared" si="181"/>
        <v>N</v>
      </c>
      <c r="AV190" t="str">
        <f t="shared" si="181"/>
        <v>N</v>
      </c>
      <c r="AW190" t="str">
        <f>"Delayed : Previous Port Delayed"</f>
        <v>Delayed : Previous Port Delayed</v>
      </c>
      <c r="AX190" t="str">
        <f t="shared" si="136"/>
        <v>No</v>
      </c>
      <c r="AY190" t="str">
        <f>""</f>
        <v/>
      </c>
      <c r="AZ190" t="s">
        <v>12</v>
      </c>
      <c r="BA190" t="s">
        <v>110</v>
      </c>
      <c r="BB190" t="s">
        <v>110</v>
      </c>
    </row>
    <row r="191" spans="1:54">
      <c r="A191" s="7" t="str">
        <f t="shared" si="137"/>
        <v>JKHWWES410</v>
      </c>
      <c r="B191" s="8">
        <f t="shared" si="138"/>
        <v>43679.5</v>
      </c>
      <c r="C191" t="str">
        <f>"JKH"</f>
        <v>JKH</v>
      </c>
      <c r="D191" t="str">
        <f>"WWE"</f>
        <v>WWE</v>
      </c>
      <c r="E191" t="str">
        <f>"WAN HAI 207"</f>
        <v>WAN HAI 207</v>
      </c>
      <c r="F191" t="str">
        <f>"WHL"</f>
        <v>WHL</v>
      </c>
      <c r="G191" t="str">
        <f t="shared" si="133"/>
        <v>OOCL</v>
      </c>
      <c r="H191" t="str">
        <f>""</f>
        <v/>
      </c>
      <c r="I191" t="str">
        <f>"410"</f>
        <v>410</v>
      </c>
      <c r="J191" t="str">
        <f>"S"</f>
        <v>S</v>
      </c>
      <c r="K191" t="str">
        <f>"8"</f>
        <v>8</v>
      </c>
      <c r="L191" t="str">
        <f t="shared" si="188"/>
        <v>HKG02</v>
      </c>
      <c r="M191" t="str">
        <f t="shared" si="189"/>
        <v>HIT - Hongkong International Terminals</v>
      </c>
      <c r="N191" t="str">
        <f t="shared" si="134"/>
        <v>HKG</v>
      </c>
      <c r="O191" t="str">
        <f t="shared" si="190"/>
        <v>1</v>
      </c>
      <c r="P191" t="str">
        <f>"9VHX"</f>
        <v>9VHX</v>
      </c>
      <c r="Q191" t="str">
        <f>"S410"</f>
        <v>S410</v>
      </c>
      <c r="R191" t="str">
        <f>"S410"</f>
        <v>S410</v>
      </c>
      <c r="S191" t="str">
        <f>""</f>
        <v/>
      </c>
      <c r="T191" t="str">
        <f>"03 Aug 2019 18:00"</f>
        <v>03 Aug 2019 18:00</v>
      </c>
      <c r="U191" t="str">
        <f>"04 Aug 2019 05:00"</f>
        <v>04 Aug 2019 05:00</v>
      </c>
      <c r="V191" t="str">
        <f>"11h"</f>
        <v>11h</v>
      </c>
      <c r="W191" t="str">
        <f>"03 Aug 2019 18:00"</f>
        <v>03 Aug 2019 18:00</v>
      </c>
      <c r="X191" t="str">
        <f>""</f>
        <v/>
      </c>
      <c r="Y191" t="str">
        <f>"04 Aug 2019 05:00"</f>
        <v>04 Aug 2019 05:00</v>
      </c>
      <c r="Z191" t="str">
        <f>""</f>
        <v/>
      </c>
      <c r="AA191" t="str">
        <f>""</f>
        <v/>
      </c>
      <c r="AB191" t="str">
        <f t="shared" si="135"/>
        <v>NN</v>
      </c>
      <c r="AC191" t="str">
        <f t="shared" ref="AC191:AC196" si="192">"LL"</f>
        <v>LL</v>
      </c>
      <c r="AD191" t="str">
        <f t="shared" ref="AD191:AE196" si="193">"0"</f>
        <v>0</v>
      </c>
      <c r="AE191" t="str">
        <f t="shared" si="193"/>
        <v>0</v>
      </c>
      <c r="AF191" t="str">
        <f>"04 Aug 2019 18:00"</f>
        <v>04 Aug 2019 18:00</v>
      </c>
      <c r="AG191" t="str">
        <f>"04 Aug 2019 18:00"</f>
        <v>04 Aug 2019 18:00</v>
      </c>
      <c r="AH191" t="str">
        <f>"04 Aug 2019 18:00"</f>
        <v>04 Aug 2019 18:00</v>
      </c>
      <c r="AI191" t="str">
        <f>"04 Aug 2019 18:00"</f>
        <v>04 Aug 2019 18:00</v>
      </c>
      <c r="AJ191" t="str">
        <f>"04 Aug 2019 18:00"</f>
        <v>04 Aug 2019 18:00</v>
      </c>
      <c r="AK191" t="str">
        <f t="shared" ref="AK191:AP191" si="194">"02 Aug 2019 12:00"</f>
        <v>02 Aug 2019 12:00</v>
      </c>
      <c r="AL191" t="str">
        <f t="shared" si="194"/>
        <v>02 Aug 2019 12:00</v>
      </c>
      <c r="AM191" t="str">
        <f t="shared" si="194"/>
        <v>02 Aug 2019 12:00</v>
      </c>
      <c r="AN191" t="str">
        <f t="shared" si="194"/>
        <v>02 Aug 2019 12:00</v>
      </c>
      <c r="AO191" t="str">
        <f t="shared" si="194"/>
        <v>02 Aug 2019 12:00</v>
      </c>
      <c r="AP191" t="str">
        <f t="shared" si="194"/>
        <v>02 Aug 2019 12:00</v>
      </c>
      <c r="AQ191" t="str">
        <f>"04 Aug 2019 18:00"</f>
        <v>04 Aug 2019 18:00</v>
      </c>
      <c r="AR191" t="str">
        <f t="shared" si="182"/>
        <v>Y</v>
      </c>
      <c r="AS191" t="str">
        <f t="shared" si="182"/>
        <v>Y</v>
      </c>
      <c r="AT191" t="str">
        <f t="shared" si="182"/>
        <v>Y</v>
      </c>
      <c r="AU191" t="str">
        <f t="shared" si="181"/>
        <v>N</v>
      </c>
      <c r="AV191" t="str">
        <f t="shared" si="181"/>
        <v>N</v>
      </c>
      <c r="AW191" t="str">
        <f>""</f>
        <v/>
      </c>
      <c r="AX191" t="str">
        <f t="shared" si="136"/>
        <v>No</v>
      </c>
      <c r="AY191" t="str">
        <f>""</f>
        <v/>
      </c>
      <c r="AZ191" t="s">
        <v>12</v>
      </c>
      <c r="BA191" t="s">
        <v>110</v>
      </c>
      <c r="BB191" t="s">
        <v>110</v>
      </c>
    </row>
    <row r="192" spans="1:54">
      <c r="A192" s="7" t="str">
        <f t="shared" si="137"/>
        <v>KCM2NTY19007N</v>
      </c>
      <c r="B192" s="8">
        <f t="shared" si="138"/>
        <v>43681.958333333336</v>
      </c>
      <c r="C192" t="str">
        <f>"KCM2"</f>
        <v>KCM2</v>
      </c>
      <c r="D192" t="str">
        <f>"NTY"</f>
        <v>NTY</v>
      </c>
      <c r="E192" t="str">
        <f>"NAVIOS DESTINY"</f>
        <v>NAVIOS DESTINY</v>
      </c>
      <c r="F192" t="str">
        <f>"TSL"</f>
        <v>TSL</v>
      </c>
      <c r="G192" t="str">
        <f t="shared" si="133"/>
        <v>OOCL</v>
      </c>
      <c r="H192" t="str">
        <f>""</f>
        <v/>
      </c>
      <c r="I192" t="str">
        <f>"907"</f>
        <v>907</v>
      </c>
      <c r="J192" t="str">
        <f>"N"</f>
        <v>N</v>
      </c>
      <c r="K192" t="str">
        <f>"4"</f>
        <v>4</v>
      </c>
      <c r="L192" t="str">
        <f t="shared" si="188"/>
        <v>HKG02</v>
      </c>
      <c r="M192" t="str">
        <f t="shared" si="189"/>
        <v>HIT - Hongkong International Terminals</v>
      </c>
      <c r="N192" t="str">
        <f t="shared" si="134"/>
        <v>HKG</v>
      </c>
      <c r="O192" t="str">
        <f t="shared" si="190"/>
        <v>1</v>
      </c>
      <c r="P192" t="str">
        <f>"V7PS5"</f>
        <v>V7PS5</v>
      </c>
      <c r="Q192" t="str">
        <f>"19007N"</f>
        <v>19007N</v>
      </c>
      <c r="R192" t="str">
        <f>"19007N"</f>
        <v>19007N</v>
      </c>
      <c r="S192" t="str">
        <f>""</f>
        <v/>
      </c>
      <c r="T192" t="str">
        <f>"05 Aug 2019 18:00"</f>
        <v>05 Aug 2019 18:00</v>
      </c>
      <c r="U192" t="str">
        <f>"06 Aug 2019 06:00"</f>
        <v>06 Aug 2019 06:00</v>
      </c>
      <c r="V192" t="str">
        <f>"12h"</f>
        <v>12h</v>
      </c>
      <c r="W192" t="str">
        <f>"05 Aug 2019 18:00"</f>
        <v>05 Aug 2019 18:00</v>
      </c>
      <c r="X192" t="str">
        <f>""</f>
        <v/>
      </c>
      <c r="Y192" t="str">
        <f>"06 Aug 2019 06:00"</f>
        <v>06 Aug 2019 06:00</v>
      </c>
      <c r="Z192" t="str">
        <f>""</f>
        <v/>
      </c>
      <c r="AA192" t="str">
        <f>""</f>
        <v/>
      </c>
      <c r="AB192" t="str">
        <f t="shared" si="135"/>
        <v>NN</v>
      </c>
      <c r="AC192" t="str">
        <f t="shared" si="192"/>
        <v>LL</v>
      </c>
      <c r="AD192" t="str">
        <f t="shared" si="193"/>
        <v>0</v>
      </c>
      <c r="AE192" t="str">
        <f t="shared" si="193"/>
        <v>0</v>
      </c>
      <c r="AF192" t="str">
        <f>"06 Aug 2019 07:00"</f>
        <v>06 Aug 2019 07:00</v>
      </c>
      <c r="AG192" t="str">
        <f>"06 Aug 2019 07:00"</f>
        <v>06 Aug 2019 07:00</v>
      </c>
      <c r="AH192" t="str">
        <f>"06 Aug 2019 07:00"</f>
        <v>06 Aug 2019 07:00</v>
      </c>
      <c r="AI192" t="str">
        <f>"06 Aug 2019 07:00"</f>
        <v>06 Aug 2019 07:00</v>
      </c>
      <c r="AJ192" t="str">
        <f>"06 Aug 2019 07:00"</f>
        <v>06 Aug 2019 07:00</v>
      </c>
      <c r="AK192" t="str">
        <f t="shared" ref="AK192:AP192" si="195">"04 Aug 2019 23:00"</f>
        <v>04 Aug 2019 23:00</v>
      </c>
      <c r="AL192" t="str">
        <f t="shared" si="195"/>
        <v>04 Aug 2019 23:00</v>
      </c>
      <c r="AM192" t="str">
        <f t="shared" si="195"/>
        <v>04 Aug 2019 23:00</v>
      </c>
      <c r="AN192" t="str">
        <f t="shared" si="195"/>
        <v>04 Aug 2019 23:00</v>
      </c>
      <c r="AO192" t="str">
        <f t="shared" si="195"/>
        <v>04 Aug 2019 23:00</v>
      </c>
      <c r="AP192" t="str">
        <f t="shared" si="195"/>
        <v>04 Aug 2019 23:00</v>
      </c>
      <c r="AQ192" t="str">
        <f>"06 Aug 2019 07:00"</f>
        <v>06 Aug 2019 07:00</v>
      </c>
      <c r="AR192" t="str">
        <f t="shared" si="182"/>
        <v>Y</v>
      </c>
      <c r="AS192" t="str">
        <f t="shared" si="182"/>
        <v>Y</v>
      </c>
      <c r="AT192" t="str">
        <f t="shared" si="182"/>
        <v>Y</v>
      </c>
      <c r="AU192" t="str">
        <f t="shared" si="181"/>
        <v>N</v>
      </c>
      <c r="AV192" t="str">
        <f t="shared" si="181"/>
        <v>N</v>
      </c>
      <c r="AW192" t="str">
        <f>""</f>
        <v/>
      </c>
      <c r="AX192" t="str">
        <f t="shared" si="136"/>
        <v>No</v>
      </c>
      <c r="AY192" t="str">
        <f>""</f>
        <v/>
      </c>
      <c r="AZ192" t="s">
        <v>12</v>
      </c>
      <c r="BA192" t="s">
        <v>110</v>
      </c>
      <c r="BB192" t="s">
        <v>133</v>
      </c>
    </row>
    <row r="193" spans="1:54">
      <c r="A193" s="7" t="str">
        <f t="shared" si="137"/>
        <v>KTX1BXS005S</v>
      </c>
      <c r="B193" s="8">
        <f t="shared" si="138"/>
        <v>43678.875</v>
      </c>
      <c r="C193" t="str">
        <f>"KTX1"</f>
        <v>KTX1</v>
      </c>
      <c r="D193" t="str">
        <f>"BXS"</f>
        <v>BXS</v>
      </c>
      <c r="E193" t="str">
        <f>"BUXHANSA"</f>
        <v>BUXHANSA</v>
      </c>
      <c r="F193" t="str">
        <f>"OOCL"</f>
        <v>OOCL</v>
      </c>
      <c r="G193" t="str">
        <f t="shared" si="133"/>
        <v>OOCL</v>
      </c>
      <c r="H193" t="str">
        <f>""</f>
        <v/>
      </c>
      <c r="I193" t="str">
        <f>"005"</f>
        <v>005</v>
      </c>
      <c r="J193" t="str">
        <f>"S"</f>
        <v>S</v>
      </c>
      <c r="K193" t="str">
        <f>"8"</f>
        <v>8</v>
      </c>
      <c r="L193" t="str">
        <f t="shared" si="188"/>
        <v>HKG02</v>
      </c>
      <c r="M193" t="str">
        <f t="shared" si="189"/>
        <v>HIT - Hongkong International Terminals</v>
      </c>
      <c r="N193" t="str">
        <f t="shared" si="134"/>
        <v>HKG</v>
      </c>
      <c r="O193" t="str">
        <f t="shared" si="190"/>
        <v>1</v>
      </c>
      <c r="P193" t="str">
        <f>"A8TQ5"</f>
        <v>A8TQ5</v>
      </c>
      <c r="Q193" t="str">
        <f>"005S"</f>
        <v>005S</v>
      </c>
      <c r="R193" t="str">
        <f>"005S"</f>
        <v>005S</v>
      </c>
      <c r="S193" t="str">
        <f>""</f>
        <v/>
      </c>
      <c r="T193" t="str">
        <f>"02 Aug 2019 11:00"</f>
        <v>02 Aug 2019 11:00</v>
      </c>
      <c r="U193" t="str">
        <f>"03 Aug 2019 00:00"</f>
        <v>03 Aug 2019 00:00</v>
      </c>
      <c r="V193" t="str">
        <f>"13h"</f>
        <v>13h</v>
      </c>
      <c r="W193" t="str">
        <f>"02 Aug 2019 11:00"</f>
        <v>02 Aug 2019 11:00</v>
      </c>
      <c r="X193" t="str">
        <f>""</f>
        <v/>
      </c>
      <c r="Y193" t="str">
        <f>"03 Aug 2019 00:00"</f>
        <v>03 Aug 2019 00:00</v>
      </c>
      <c r="Z193" t="str">
        <f>""</f>
        <v/>
      </c>
      <c r="AA193" t="str">
        <f>""</f>
        <v/>
      </c>
      <c r="AB193" t="str">
        <f t="shared" si="135"/>
        <v>NN</v>
      </c>
      <c r="AC193" t="str">
        <f t="shared" si="192"/>
        <v>LL</v>
      </c>
      <c r="AD193" t="str">
        <f t="shared" si="193"/>
        <v>0</v>
      </c>
      <c r="AE193" t="str">
        <f t="shared" si="193"/>
        <v>0</v>
      </c>
      <c r="AF193" t="str">
        <f>"03 Aug 2019 01:00"</f>
        <v>03 Aug 2019 01:00</v>
      </c>
      <c r="AG193" t="str">
        <f>"03 Aug 2019 01:00"</f>
        <v>03 Aug 2019 01:00</v>
      </c>
      <c r="AH193" t="str">
        <f>"03 Aug 2019 01:00"</f>
        <v>03 Aug 2019 01:00</v>
      </c>
      <c r="AI193" t="str">
        <f>"03 Aug 2019 01:00"</f>
        <v>03 Aug 2019 01:00</v>
      </c>
      <c r="AJ193" t="str">
        <f>"03 Aug 2019 01:00"</f>
        <v>03 Aug 2019 01:00</v>
      </c>
      <c r="AK193" t="str">
        <f>"02 Aug 2019 12:00"</f>
        <v>02 Aug 2019 12:00</v>
      </c>
      <c r="AL193" t="str">
        <f>"02 Aug 2019 12:00"</f>
        <v>02 Aug 2019 12:00</v>
      </c>
      <c r="AM193" t="str">
        <f>"02 Aug 2019 12:00"</f>
        <v>02 Aug 2019 12:00</v>
      </c>
      <c r="AN193" t="str">
        <f>"02 Aug 2019 12:00"</f>
        <v>02 Aug 2019 12:00</v>
      </c>
      <c r="AO193" t="str">
        <f>"02 Aug 2019 12:00"</f>
        <v>02 Aug 2019 12:00</v>
      </c>
      <c r="AP193" t="str">
        <f>"01 Aug 2019 21:00"</f>
        <v>01 Aug 2019 21:00</v>
      </c>
      <c r="AQ193" t="str">
        <f>"03 Aug 2019 01:00"</f>
        <v>03 Aug 2019 01:00</v>
      </c>
      <c r="AR193" t="str">
        <f t="shared" si="182"/>
        <v>Y</v>
      </c>
      <c r="AS193" t="str">
        <f t="shared" si="182"/>
        <v>Y</v>
      </c>
      <c r="AT193" t="str">
        <f t="shared" si="182"/>
        <v>Y</v>
      </c>
      <c r="AU193" t="str">
        <f t="shared" si="181"/>
        <v>N</v>
      </c>
      <c r="AV193" t="str">
        <f t="shared" si="181"/>
        <v>N</v>
      </c>
      <c r="AW193" t="str">
        <f>""</f>
        <v/>
      </c>
      <c r="AX193" t="str">
        <f t="shared" si="136"/>
        <v>No</v>
      </c>
      <c r="AY193" t="str">
        <f>""</f>
        <v/>
      </c>
      <c r="AZ193" t="s">
        <v>12</v>
      </c>
      <c r="BA193" t="s">
        <v>110</v>
      </c>
      <c r="BB193" t="s">
        <v>110</v>
      </c>
    </row>
    <row r="194" spans="1:54">
      <c r="A194" s="7" t="str">
        <f t="shared" si="137"/>
        <v>KTX1DSK011N</v>
      </c>
      <c r="B194" s="8">
        <f t="shared" si="138"/>
        <v>43679.125</v>
      </c>
      <c r="C194" t="str">
        <f>"KTX1"</f>
        <v>KTX1</v>
      </c>
      <c r="D194" t="str">
        <f>"DSK"</f>
        <v>DSK</v>
      </c>
      <c r="E194" t="str">
        <f>"GSL KETA"</f>
        <v>GSL KETA</v>
      </c>
      <c r="F194" t="str">
        <f>"OOCL"</f>
        <v>OOCL</v>
      </c>
      <c r="G194" t="str">
        <f t="shared" ref="G194:G236" si="196">"OOCL"</f>
        <v>OOCL</v>
      </c>
      <c r="H194" t="str">
        <f>""</f>
        <v/>
      </c>
      <c r="I194" t="str">
        <f>"011"</f>
        <v>011</v>
      </c>
      <c r="J194" t="str">
        <f>"N"</f>
        <v>N</v>
      </c>
      <c r="K194" t="str">
        <f>"3"</f>
        <v>3</v>
      </c>
      <c r="L194" t="str">
        <f t="shared" si="188"/>
        <v>HKG02</v>
      </c>
      <c r="M194" t="str">
        <f t="shared" si="189"/>
        <v>HIT - Hongkong International Terminals</v>
      </c>
      <c r="N194" t="str">
        <f t="shared" ref="N194:N236" si="197">"HKG"</f>
        <v>HKG</v>
      </c>
      <c r="O194" t="str">
        <f t="shared" si="190"/>
        <v>1</v>
      </c>
      <c r="P194" t="str">
        <f>"C6ZM9"</f>
        <v>C6ZM9</v>
      </c>
      <c r="Q194" t="str">
        <f>"011N"</f>
        <v>011N</v>
      </c>
      <c r="R194" t="str">
        <f>"011N"</f>
        <v>011N</v>
      </c>
      <c r="S194" t="str">
        <f>""</f>
        <v/>
      </c>
      <c r="T194" t="str">
        <f>"02 Aug 2019 17:00"</f>
        <v>02 Aug 2019 17:00</v>
      </c>
      <c r="U194" t="str">
        <f>"03 Aug 2019 06:00"</f>
        <v>03 Aug 2019 06:00</v>
      </c>
      <c r="V194" t="str">
        <f>"13h"</f>
        <v>13h</v>
      </c>
      <c r="W194" t="str">
        <f>"02 Aug 2019 17:00"</f>
        <v>02 Aug 2019 17:00</v>
      </c>
      <c r="X194" t="str">
        <f>""</f>
        <v/>
      </c>
      <c r="Y194" t="str">
        <f>"03 Aug 2019 06:00"</f>
        <v>03 Aug 2019 06:00</v>
      </c>
      <c r="Z194" t="str">
        <f>""</f>
        <v/>
      </c>
      <c r="AA194" t="str">
        <f>""</f>
        <v/>
      </c>
      <c r="AB194" t="str">
        <f t="shared" ref="AB194:AB236" si="198">"NN"</f>
        <v>NN</v>
      </c>
      <c r="AC194" t="str">
        <f t="shared" si="192"/>
        <v>LL</v>
      </c>
      <c r="AD194" t="str">
        <f t="shared" si="193"/>
        <v>0</v>
      </c>
      <c r="AE194" t="str">
        <f t="shared" si="193"/>
        <v>0</v>
      </c>
      <c r="AF194" t="str">
        <f>"03 Aug 2019 07:00"</f>
        <v>03 Aug 2019 07:00</v>
      </c>
      <c r="AG194" t="str">
        <f>"03 Aug 2019 07:00"</f>
        <v>03 Aug 2019 07:00</v>
      </c>
      <c r="AH194" t="str">
        <f>"03 Aug 2019 07:00"</f>
        <v>03 Aug 2019 07:00</v>
      </c>
      <c r="AI194" t="str">
        <f>"03 Aug 2019 07:00"</f>
        <v>03 Aug 2019 07:00</v>
      </c>
      <c r="AJ194" t="str">
        <f>"03 Aug 2019 07:00"</f>
        <v>03 Aug 2019 07:00</v>
      </c>
      <c r="AK194" t="str">
        <f>"02 Aug 2019 20:00"</f>
        <v>02 Aug 2019 20:00</v>
      </c>
      <c r="AL194" t="str">
        <f>"02 Aug 2019 20:00"</f>
        <v>02 Aug 2019 20:00</v>
      </c>
      <c r="AM194" t="str">
        <f>"02 Aug 2019 20:00"</f>
        <v>02 Aug 2019 20:00</v>
      </c>
      <c r="AN194" t="str">
        <f>"02 Aug 2019 20:00"</f>
        <v>02 Aug 2019 20:00</v>
      </c>
      <c r="AO194" t="str">
        <f>"02 Aug 2019 20:00"</f>
        <v>02 Aug 2019 20:00</v>
      </c>
      <c r="AP194" t="str">
        <f>"02 Aug 2019 03:00"</f>
        <v>02 Aug 2019 03:00</v>
      </c>
      <c r="AQ194" t="str">
        <f>"03 Aug 2019 07:00"</f>
        <v>03 Aug 2019 07:00</v>
      </c>
      <c r="AR194" t="str">
        <f t="shared" si="182"/>
        <v>Y</v>
      </c>
      <c r="AS194" t="str">
        <f t="shared" si="182"/>
        <v>Y</v>
      </c>
      <c r="AT194" t="str">
        <f t="shared" si="182"/>
        <v>Y</v>
      </c>
      <c r="AU194" t="str">
        <f t="shared" si="181"/>
        <v>N</v>
      </c>
      <c r="AV194" t="str">
        <f t="shared" si="181"/>
        <v>N</v>
      </c>
      <c r="AW194" t="str">
        <f>""</f>
        <v/>
      </c>
      <c r="AX194" t="str">
        <f t="shared" ref="AX194:AX236" si="199">"No"</f>
        <v>No</v>
      </c>
      <c r="AY194" t="str">
        <f>"phase in new KTX1"</f>
        <v>phase in new KTX1</v>
      </c>
      <c r="AZ194" t="s">
        <v>12</v>
      </c>
      <c r="BA194" t="s">
        <v>110</v>
      </c>
      <c r="BB194" t="s">
        <v>110</v>
      </c>
    </row>
    <row r="195" spans="1:54">
      <c r="A195" s="7" t="str">
        <f t="shared" ref="A195:A236" si="200">C195&amp;D195&amp;R195</f>
        <v>KTX2OZS205N</v>
      </c>
      <c r="B195" s="8">
        <f t="shared" ref="B195:B236" si="201">+AP195-0</f>
        <v>43679.458333333336</v>
      </c>
      <c r="C195" t="str">
        <f>"KTX2"</f>
        <v>KTX2</v>
      </c>
      <c r="D195" t="str">
        <f>"OZS"</f>
        <v>OZS</v>
      </c>
      <c r="E195" t="str">
        <f>"OOCL ZHOUSHAN"</f>
        <v>OOCL ZHOUSHAN</v>
      </c>
      <c r="F195" t="str">
        <f>"OOCL"</f>
        <v>OOCL</v>
      </c>
      <c r="G195" t="str">
        <f t="shared" si="196"/>
        <v>OOCL</v>
      </c>
      <c r="H195" t="str">
        <f>""</f>
        <v/>
      </c>
      <c r="I195" t="str">
        <f>"205"</f>
        <v>205</v>
      </c>
      <c r="J195" t="str">
        <f>"N"</f>
        <v>N</v>
      </c>
      <c r="K195" t="str">
        <f>"3"</f>
        <v>3</v>
      </c>
      <c r="L195" t="str">
        <f t="shared" si="188"/>
        <v>HKG02</v>
      </c>
      <c r="M195" t="str">
        <f t="shared" si="189"/>
        <v>HIT - Hongkong International Terminals</v>
      </c>
      <c r="N195" t="str">
        <f t="shared" si="197"/>
        <v>HKG</v>
      </c>
      <c r="O195" t="str">
        <f t="shared" si="190"/>
        <v>1</v>
      </c>
      <c r="P195" t="str">
        <f>"VRCB4"</f>
        <v>VRCB4</v>
      </c>
      <c r="Q195" t="str">
        <f>"205N"</f>
        <v>205N</v>
      </c>
      <c r="R195" t="str">
        <f>"205N"</f>
        <v>205N</v>
      </c>
      <c r="S195" t="str">
        <f>""</f>
        <v/>
      </c>
      <c r="T195" t="str">
        <f>"03 Aug 2019 01:00"</f>
        <v>03 Aug 2019 01:00</v>
      </c>
      <c r="U195" t="str">
        <f>"03 Aug 2019 11:00"</f>
        <v>03 Aug 2019 11:00</v>
      </c>
      <c r="V195" t="str">
        <f>"10h"</f>
        <v>10h</v>
      </c>
      <c r="W195" t="str">
        <f>"03 Aug 2019 01:00"</f>
        <v>03 Aug 2019 01:00</v>
      </c>
      <c r="X195" t="str">
        <f>""</f>
        <v/>
      </c>
      <c r="Y195" t="str">
        <f>"03 Aug 2019 11:00"</f>
        <v>03 Aug 2019 11:00</v>
      </c>
      <c r="Z195" t="str">
        <f>""</f>
        <v/>
      </c>
      <c r="AA195" t="str">
        <f>""</f>
        <v/>
      </c>
      <c r="AB195" t="str">
        <f t="shared" si="198"/>
        <v>NN</v>
      </c>
      <c r="AC195" t="str">
        <f t="shared" si="192"/>
        <v>LL</v>
      </c>
      <c r="AD195" t="str">
        <f t="shared" si="193"/>
        <v>0</v>
      </c>
      <c r="AE195" t="str">
        <f t="shared" si="193"/>
        <v>0</v>
      </c>
      <c r="AF195" t="str">
        <f>"04 Aug 2019 12:00"</f>
        <v>04 Aug 2019 12:00</v>
      </c>
      <c r="AG195" t="str">
        <f>"04 Aug 2019 12:00"</f>
        <v>04 Aug 2019 12:00</v>
      </c>
      <c r="AH195" t="str">
        <f>"04 Aug 2019 12:00"</f>
        <v>04 Aug 2019 12:00</v>
      </c>
      <c r="AI195" t="str">
        <f>"04 Aug 2019 12:00"</f>
        <v>04 Aug 2019 12:00</v>
      </c>
      <c r="AJ195" t="str">
        <f>"04 Aug 2019 12:00"</f>
        <v>04 Aug 2019 12:00</v>
      </c>
      <c r="AK195" t="str">
        <f>"03 Aug 2019 04:00"</f>
        <v>03 Aug 2019 04:00</v>
      </c>
      <c r="AL195" t="str">
        <f>"03 Aug 2019 04:00"</f>
        <v>03 Aug 2019 04:00</v>
      </c>
      <c r="AM195" t="str">
        <f>"03 Aug 2019 04:00"</f>
        <v>03 Aug 2019 04:00</v>
      </c>
      <c r="AN195" t="str">
        <f>"03 Aug 2019 04:00"</f>
        <v>03 Aug 2019 04:00</v>
      </c>
      <c r="AO195" t="str">
        <f>"03 Aug 2019 04:00"</f>
        <v>03 Aug 2019 04:00</v>
      </c>
      <c r="AP195" t="str">
        <f>"02 Aug 2019 11:00"</f>
        <v>02 Aug 2019 11:00</v>
      </c>
      <c r="AQ195" t="str">
        <f>"04 Aug 2019 12:00"</f>
        <v>04 Aug 2019 12:00</v>
      </c>
      <c r="AR195" t="str">
        <f t="shared" si="182"/>
        <v>Y</v>
      </c>
      <c r="AS195" t="str">
        <f t="shared" si="182"/>
        <v>Y</v>
      </c>
      <c r="AT195" t="str">
        <f t="shared" si="182"/>
        <v>Y</v>
      </c>
      <c r="AU195" t="str">
        <f t="shared" si="181"/>
        <v>N</v>
      </c>
      <c r="AV195" t="str">
        <f t="shared" si="181"/>
        <v>N</v>
      </c>
      <c r="AW195" t="str">
        <f>""</f>
        <v/>
      </c>
      <c r="AX195" t="str">
        <f t="shared" si="199"/>
        <v>No</v>
      </c>
      <c r="AY195" t="str">
        <f>""</f>
        <v/>
      </c>
      <c r="AZ195" t="s">
        <v>12</v>
      </c>
      <c r="BA195" t="s">
        <v>110</v>
      </c>
      <c r="BB195" t="s">
        <v>110</v>
      </c>
    </row>
    <row r="196" spans="1:54">
      <c r="A196" s="7" t="str">
        <f t="shared" si="200"/>
        <v>KTX3OAZ186S</v>
      </c>
      <c r="B196" s="8">
        <f t="shared" si="201"/>
        <v>43682.333333333336</v>
      </c>
      <c r="C196" t="str">
        <f>"KTX3"</f>
        <v>KTX3</v>
      </c>
      <c r="D196" t="str">
        <f>"OAZ"</f>
        <v>OAZ</v>
      </c>
      <c r="E196" t="str">
        <f>"OOCL AUSTRALIA"</f>
        <v>OOCL AUSTRALIA</v>
      </c>
      <c r="F196" t="str">
        <f>"OOCL"</f>
        <v>OOCL</v>
      </c>
      <c r="G196" t="str">
        <f t="shared" si="196"/>
        <v>OOCL</v>
      </c>
      <c r="H196" t="str">
        <f>""</f>
        <v/>
      </c>
      <c r="I196" t="str">
        <f>"186"</f>
        <v>186</v>
      </c>
      <c r="J196" t="str">
        <f>"S"</f>
        <v>S</v>
      </c>
      <c r="K196" t="str">
        <f>"6"</f>
        <v>6</v>
      </c>
      <c r="L196" t="str">
        <f t="shared" si="188"/>
        <v>HKG02</v>
      </c>
      <c r="M196" t="str">
        <f t="shared" si="189"/>
        <v>HIT - Hongkong International Terminals</v>
      </c>
      <c r="N196" t="str">
        <f t="shared" si="197"/>
        <v>HKG</v>
      </c>
      <c r="O196" t="str">
        <f t="shared" si="190"/>
        <v>1</v>
      </c>
      <c r="P196" t="str">
        <f>"VRCG8"</f>
        <v>VRCG8</v>
      </c>
      <c r="Q196" t="str">
        <f>"186S"</f>
        <v>186S</v>
      </c>
      <c r="R196" t="str">
        <f>"186S"</f>
        <v>186S</v>
      </c>
      <c r="S196" t="str">
        <f>""</f>
        <v/>
      </c>
      <c r="T196" t="str">
        <f>"05 Aug 2019 23:00"</f>
        <v>05 Aug 2019 23:00</v>
      </c>
      <c r="U196" t="str">
        <f>"06 Aug 2019 09:00"</f>
        <v>06 Aug 2019 09:00</v>
      </c>
      <c r="V196" t="str">
        <f>"10h"</f>
        <v>10h</v>
      </c>
      <c r="W196" t="str">
        <f>"05 Aug 2019 23:00"</f>
        <v>05 Aug 2019 23:00</v>
      </c>
      <c r="X196" t="str">
        <f>""</f>
        <v/>
      </c>
      <c r="Y196" t="str">
        <f>"06 Aug 2019 09:00"</f>
        <v>06 Aug 2019 09:00</v>
      </c>
      <c r="Z196" t="str">
        <f>""</f>
        <v/>
      </c>
      <c r="AA196" t="str">
        <f>""</f>
        <v/>
      </c>
      <c r="AB196" t="str">
        <f t="shared" si="198"/>
        <v>NN</v>
      </c>
      <c r="AC196" t="str">
        <f t="shared" si="192"/>
        <v>LL</v>
      </c>
      <c r="AD196" t="str">
        <f t="shared" si="193"/>
        <v>0</v>
      </c>
      <c r="AE196" t="str">
        <f t="shared" si="193"/>
        <v>0</v>
      </c>
      <c r="AF196" t="str">
        <f>"06 Aug 2019 10:00"</f>
        <v>06 Aug 2019 10:00</v>
      </c>
      <c r="AG196" t="str">
        <f>"06 Aug 2019 10:00"</f>
        <v>06 Aug 2019 10:00</v>
      </c>
      <c r="AH196" t="str">
        <f>"06 Aug 2019 10:00"</f>
        <v>06 Aug 2019 10:00</v>
      </c>
      <c r="AI196" t="str">
        <f>"06 Aug 2019 10:00"</f>
        <v>06 Aug 2019 10:00</v>
      </c>
      <c r="AJ196" t="str">
        <f>"06 Aug 2019 10:00"</f>
        <v>06 Aug 2019 10:00</v>
      </c>
      <c r="AK196" t="str">
        <f>"05 Aug 2019 23:00"</f>
        <v>05 Aug 2019 23:00</v>
      </c>
      <c r="AL196" t="str">
        <f>"05 Aug 2019 23:00"</f>
        <v>05 Aug 2019 23:00</v>
      </c>
      <c r="AM196" t="str">
        <f>"05 Aug 2019 23:00"</f>
        <v>05 Aug 2019 23:00</v>
      </c>
      <c r="AN196" t="str">
        <f>"05 Aug 2019 23:00"</f>
        <v>05 Aug 2019 23:00</v>
      </c>
      <c r="AO196" t="str">
        <f>"05 Aug 2019 23:00"</f>
        <v>05 Aug 2019 23:00</v>
      </c>
      <c r="AP196" t="str">
        <f>"05 Aug 2019 08:00"</f>
        <v>05 Aug 2019 08:00</v>
      </c>
      <c r="AQ196" t="str">
        <f>"06 Aug 2019 10:00"</f>
        <v>06 Aug 2019 10:00</v>
      </c>
      <c r="AR196" t="str">
        <f t="shared" si="182"/>
        <v>Y</v>
      </c>
      <c r="AS196" t="str">
        <f t="shared" si="182"/>
        <v>Y</v>
      </c>
      <c r="AT196" t="str">
        <f t="shared" si="182"/>
        <v>Y</v>
      </c>
      <c r="AU196" t="str">
        <f t="shared" si="181"/>
        <v>N</v>
      </c>
      <c r="AV196" t="str">
        <f t="shared" si="181"/>
        <v>N</v>
      </c>
      <c r="AW196" t="str">
        <f>""</f>
        <v/>
      </c>
      <c r="AX196" t="str">
        <f t="shared" si="199"/>
        <v>No</v>
      </c>
      <c r="AY196" t="str">
        <f>""</f>
        <v/>
      </c>
      <c r="AZ196" t="s">
        <v>12</v>
      </c>
      <c r="BA196" t="s">
        <v>110</v>
      </c>
      <c r="BB196" t="s">
        <v>110</v>
      </c>
    </row>
    <row r="197" spans="1:54">
      <c r="A197" s="7" t="str">
        <f t="shared" si="200"/>
        <v>KTX5MEB041S</v>
      </c>
      <c r="B197" s="8">
        <f t="shared" si="201"/>
        <v>43681.291666666664</v>
      </c>
      <c r="C197" t="str">
        <f>"KTX5"</f>
        <v>KTX5</v>
      </c>
      <c r="D197" t="str">
        <f>"MEB"</f>
        <v>MEB</v>
      </c>
      <c r="E197" t="str">
        <f>"MOL EARNEST"</f>
        <v>MOL EARNEST</v>
      </c>
      <c r="F197" t="str">
        <f>"ONE"</f>
        <v>ONE</v>
      </c>
      <c r="G197" t="str">
        <f t="shared" si="196"/>
        <v>OOCL</v>
      </c>
      <c r="H197" t="str">
        <f>""</f>
        <v/>
      </c>
      <c r="I197" t="str">
        <f>"041"</f>
        <v>041</v>
      </c>
      <c r="J197" t="str">
        <f>"S"</f>
        <v>S</v>
      </c>
      <c r="K197" t="str">
        <f>"6"</f>
        <v>6</v>
      </c>
      <c r="L197" t="str">
        <f>"HKG01"</f>
        <v>HKG01</v>
      </c>
      <c r="M197" t="str">
        <f>"Modern Terminal Limited (MTL)"</f>
        <v>Modern Terminal Limited (MTL)</v>
      </c>
      <c r="N197" t="str">
        <f t="shared" si="197"/>
        <v>HKG</v>
      </c>
      <c r="O197" t="str">
        <f t="shared" si="190"/>
        <v>1</v>
      </c>
      <c r="P197" t="str">
        <f>"3EMD3"</f>
        <v>3EMD3</v>
      </c>
      <c r="Q197" t="str">
        <f>"041S"</f>
        <v>041S</v>
      </c>
      <c r="R197" t="str">
        <f>"041S"</f>
        <v>041S</v>
      </c>
      <c r="S197" t="str">
        <f>""</f>
        <v/>
      </c>
      <c r="T197" t="str">
        <f>"04 Aug 2019 21:00"</f>
        <v>04 Aug 2019 21:00</v>
      </c>
      <c r="U197" t="str">
        <f>"05 Aug 2019 07:00"</f>
        <v>05 Aug 2019 07:00</v>
      </c>
      <c r="V197" t="str">
        <f>"10h"</f>
        <v>10h</v>
      </c>
      <c r="W197" t="str">
        <f>"05 Aug 2019 13:00"</f>
        <v>05 Aug 2019 13:00</v>
      </c>
      <c r="X197" t="str">
        <f>""</f>
        <v/>
      </c>
      <c r="Y197" t="str">
        <f>"05 Aug 2019 23:00"</f>
        <v>05 Aug 2019 23:00</v>
      </c>
      <c r="Z197" t="str">
        <f>""</f>
        <v/>
      </c>
      <c r="AA197" t="str">
        <f>""</f>
        <v/>
      </c>
      <c r="AB197" t="str">
        <f t="shared" si="198"/>
        <v>NN</v>
      </c>
      <c r="AC197" t="str">
        <f>"CC"</f>
        <v>CC</v>
      </c>
      <c r="AD197" t="str">
        <f>"16"</f>
        <v>16</v>
      </c>
      <c r="AE197" t="str">
        <f>"16"</f>
        <v>16</v>
      </c>
      <c r="AF197" t="str">
        <f>"06 Aug 2019 13:00"</f>
        <v>06 Aug 2019 13:00</v>
      </c>
      <c r="AG197" t="str">
        <f>"06 Aug 2019 13:00"</f>
        <v>06 Aug 2019 13:00</v>
      </c>
      <c r="AH197" t="str">
        <f>"06 Aug 2019 13:00"</f>
        <v>06 Aug 2019 13:00</v>
      </c>
      <c r="AI197" t="str">
        <f>"06 Aug 2019 13:00"</f>
        <v>06 Aug 2019 13:00</v>
      </c>
      <c r="AJ197" t="str">
        <f>"06 Aug 2019 13:00"</f>
        <v>06 Aug 2019 13:00</v>
      </c>
      <c r="AK197" t="str">
        <f t="shared" ref="AK197:AP197" si="202">"04 Aug 2019 07:00"</f>
        <v>04 Aug 2019 07:00</v>
      </c>
      <c r="AL197" t="str">
        <f t="shared" si="202"/>
        <v>04 Aug 2019 07:00</v>
      </c>
      <c r="AM197" t="str">
        <f t="shared" si="202"/>
        <v>04 Aug 2019 07:00</v>
      </c>
      <c r="AN197" t="str">
        <f t="shared" si="202"/>
        <v>04 Aug 2019 07:00</v>
      </c>
      <c r="AO197" t="str">
        <f t="shared" si="202"/>
        <v>04 Aug 2019 07:00</v>
      </c>
      <c r="AP197" t="str">
        <f t="shared" si="202"/>
        <v>04 Aug 2019 07:00</v>
      </c>
      <c r="AQ197" t="str">
        <f>"05 Aug 2019 23:00"</f>
        <v>05 Aug 2019 23:00</v>
      </c>
      <c r="AR197" t="str">
        <f t="shared" si="182"/>
        <v>Y</v>
      </c>
      <c r="AS197" t="str">
        <f t="shared" si="182"/>
        <v>Y</v>
      </c>
      <c r="AT197" t="str">
        <f t="shared" si="182"/>
        <v>Y</v>
      </c>
      <c r="AU197" t="str">
        <f t="shared" si="181"/>
        <v>N</v>
      </c>
      <c r="AV197" t="str">
        <f t="shared" si="181"/>
        <v>N</v>
      </c>
      <c r="AW197" t="str">
        <f>"Delayed : Previous Port Delayed"</f>
        <v>Delayed : Previous Port Delayed</v>
      </c>
      <c r="AX197" t="str">
        <f t="shared" si="199"/>
        <v>No</v>
      </c>
      <c r="AY197" t="str">
        <f>""</f>
        <v/>
      </c>
      <c r="AZ197" t="s">
        <v>12</v>
      </c>
      <c r="BA197" t="s">
        <v>110</v>
      </c>
      <c r="BB197" t="s">
        <v>110</v>
      </c>
    </row>
    <row r="198" spans="1:54">
      <c r="A198" s="7" t="str">
        <f t="shared" si="200"/>
        <v>KTX5NDM072N</v>
      </c>
      <c r="B198" s="8">
        <f t="shared" si="201"/>
        <v>43681.916666666664</v>
      </c>
      <c r="C198" t="str">
        <f>"KTX5"</f>
        <v>KTX5</v>
      </c>
      <c r="D198" t="str">
        <f>"NDM"</f>
        <v>NDM</v>
      </c>
      <c r="E198" t="str">
        <f>"NYK DEMETER"</f>
        <v>NYK DEMETER</v>
      </c>
      <c r="F198" t="str">
        <f>"ONE"</f>
        <v>ONE</v>
      </c>
      <c r="G198" t="str">
        <f t="shared" si="196"/>
        <v>OOCL</v>
      </c>
      <c r="H198" t="str">
        <f>""</f>
        <v/>
      </c>
      <c r="I198" t="str">
        <f>"072"</f>
        <v>072</v>
      </c>
      <c r="J198" t="str">
        <f>"N"</f>
        <v>N</v>
      </c>
      <c r="K198" t="str">
        <f>"3"</f>
        <v>3</v>
      </c>
      <c r="L198" t="str">
        <f>"HKG01"</f>
        <v>HKG01</v>
      </c>
      <c r="M198" t="str">
        <f>"Modern Terminal Limited (MTL)"</f>
        <v>Modern Terminal Limited (MTL)</v>
      </c>
      <c r="N198" t="str">
        <f t="shared" si="197"/>
        <v>HKG</v>
      </c>
      <c r="O198" t="str">
        <f t="shared" si="190"/>
        <v>1</v>
      </c>
      <c r="P198" t="str">
        <f>"3ENV5"</f>
        <v>3ENV5</v>
      </c>
      <c r="Q198" t="str">
        <f>"072N"</f>
        <v>072N</v>
      </c>
      <c r="R198" t="str">
        <f>"072N"</f>
        <v>072N</v>
      </c>
      <c r="S198" t="str">
        <f>""</f>
        <v/>
      </c>
      <c r="T198" t="str">
        <f>"05 Aug 2019 12:00"</f>
        <v>05 Aug 2019 12:00</v>
      </c>
      <c r="U198" t="str">
        <f>"06 Aug 2019 00:00"</f>
        <v>06 Aug 2019 00:00</v>
      </c>
      <c r="V198" t="str">
        <f>"12h"</f>
        <v>12h</v>
      </c>
      <c r="W198" t="str">
        <f>"05 Aug 2019 12:00"</f>
        <v>05 Aug 2019 12:00</v>
      </c>
      <c r="X198" t="str">
        <f>""</f>
        <v/>
      </c>
      <c r="Y198" t="str">
        <f>"06 Aug 2019 00:00"</f>
        <v>06 Aug 2019 00:00</v>
      </c>
      <c r="Z198" t="str">
        <f>""</f>
        <v/>
      </c>
      <c r="AA198" t="str">
        <f>""</f>
        <v/>
      </c>
      <c r="AB198" t="str">
        <f t="shared" si="198"/>
        <v>NN</v>
      </c>
      <c r="AC198" t="str">
        <f>"CC"</f>
        <v>CC</v>
      </c>
      <c r="AD198" t="str">
        <f>"0"</f>
        <v>0</v>
      </c>
      <c r="AE198" t="str">
        <f>"0"</f>
        <v>0</v>
      </c>
      <c r="AF198" t="str">
        <f>"06 Aug 2019 12:00"</f>
        <v>06 Aug 2019 12:00</v>
      </c>
      <c r="AG198" t="str">
        <f>"06 Aug 2019 12:00"</f>
        <v>06 Aug 2019 12:00</v>
      </c>
      <c r="AH198" t="str">
        <f>"06 Aug 2019 12:00"</f>
        <v>06 Aug 2019 12:00</v>
      </c>
      <c r="AI198" t="str">
        <f>"06 Aug 2019 12:00"</f>
        <v>06 Aug 2019 12:00</v>
      </c>
      <c r="AJ198" t="str">
        <f>"06 Aug 2019 12:00"</f>
        <v>06 Aug 2019 12:00</v>
      </c>
      <c r="AK198" t="str">
        <f>"04 Aug 2019 23:00"</f>
        <v>04 Aug 2019 23:00</v>
      </c>
      <c r="AL198" t="str">
        <f>"04 Aug 2019 23:00"</f>
        <v>04 Aug 2019 23:00</v>
      </c>
      <c r="AM198" t="str">
        <f>"04 Aug 2019 23:00"</f>
        <v>04 Aug 2019 23:00</v>
      </c>
      <c r="AN198" t="str">
        <f>"04 Aug 2019 23:00"</f>
        <v>04 Aug 2019 23:00</v>
      </c>
      <c r="AO198" t="str">
        <f>"04 Aug 2019 23:00"</f>
        <v>04 Aug 2019 23:00</v>
      </c>
      <c r="AP198" t="str">
        <f>"04 Aug 2019 22:00"</f>
        <v>04 Aug 2019 22:00</v>
      </c>
      <c r="AQ198" t="str">
        <f>"06 Aug 2019 00:00"</f>
        <v>06 Aug 2019 00:00</v>
      </c>
      <c r="AR198" t="str">
        <f t="shared" si="182"/>
        <v>Y</v>
      </c>
      <c r="AS198" t="str">
        <f t="shared" si="182"/>
        <v>Y</v>
      </c>
      <c r="AT198" t="str">
        <f t="shared" si="182"/>
        <v>Y</v>
      </c>
      <c r="AU198" t="str">
        <f t="shared" ref="AU198:AV217" si="203">"N"</f>
        <v>N</v>
      </c>
      <c r="AV198" t="str">
        <f t="shared" si="203"/>
        <v>N</v>
      </c>
      <c r="AW198" t="str">
        <f>""</f>
        <v/>
      </c>
      <c r="AX198" t="str">
        <f t="shared" si="199"/>
        <v>No</v>
      </c>
      <c r="AY198" t="str">
        <f>""</f>
        <v/>
      </c>
      <c r="AZ198" t="s">
        <v>12</v>
      </c>
      <c r="BA198" t="s">
        <v>110</v>
      </c>
      <c r="BB198" t="s">
        <v>110</v>
      </c>
    </row>
    <row r="199" spans="1:54">
      <c r="A199" s="7" t="str">
        <f t="shared" si="200"/>
        <v>KTX6IHTN005</v>
      </c>
      <c r="B199" s="8">
        <f t="shared" si="201"/>
        <v>43677.541666666664</v>
      </c>
      <c r="C199" t="str">
        <f>"KTX6"</f>
        <v>KTX6</v>
      </c>
      <c r="D199" t="str">
        <f>"IHT"</f>
        <v>IHT</v>
      </c>
      <c r="E199" t="str">
        <f>"INTERASIA HERITAGE"</f>
        <v>INTERASIA HERITAGE</v>
      </c>
      <c r="F199" t="str">
        <f>"IAL"</f>
        <v>IAL</v>
      </c>
      <c r="G199" t="str">
        <f t="shared" si="196"/>
        <v>OOCL</v>
      </c>
      <c r="H199" t="str">
        <f>""</f>
        <v/>
      </c>
      <c r="I199" t="str">
        <f>"005"</f>
        <v>005</v>
      </c>
      <c r="J199" t="str">
        <f>"N"</f>
        <v>N</v>
      </c>
      <c r="K199" t="str">
        <f>"6"</f>
        <v>6</v>
      </c>
      <c r="L199" t="str">
        <f t="shared" ref="L199:L204" si="204">"HKG02"</f>
        <v>HKG02</v>
      </c>
      <c r="M199" t="str">
        <f t="shared" ref="M199:M204" si="205">"HIT - Hongkong International Terminals"</f>
        <v>HIT - Hongkong International Terminals</v>
      </c>
      <c r="N199" t="str">
        <f t="shared" si="197"/>
        <v>HKG</v>
      </c>
      <c r="O199" t="str">
        <f t="shared" si="190"/>
        <v>1</v>
      </c>
      <c r="P199" t="str">
        <f>"S6AS8"</f>
        <v>S6AS8</v>
      </c>
      <c r="Q199" t="str">
        <f>"N005"</f>
        <v>N005</v>
      </c>
      <c r="R199" t="str">
        <f>"N005"</f>
        <v>N005</v>
      </c>
      <c r="S199" t="str">
        <f>""</f>
        <v/>
      </c>
      <c r="T199" t="str">
        <f>"01 Aug 2019 03:00"</f>
        <v>01 Aug 2019 03:00</v>
      </c>
      <c r="U199" t="str">
        <f>"01 Aug 2019 20:00"</f>
        <v>01 Aug 2019 20:00</v>
      </c>
      <c r="V199" t="str">
        <f>"17h"</f>
        <v>17h</v>
      </c>
      <c r="W199" t="str">
        <f>"02 Aug 2019 08:00"</f>
        <v>02 Aug 2019 08:00</v>
      </c>
      <c r="X199" t="str">
        <f>""</f>
        <v/>
      </c>
      <c r="Y199" t="str">
        <f>"03 Aug 2019 01:00"</f>
        <v>03 Aug 2019 01:00</v>
      </c>
      <c r="Z199" t="str">
        <f>""</f>
        <v/>
      </c>
      <c r="AA199" t="str">
        <f>""</f>
        <v/>
      </c>
      <c r="AB199" t="str">
        <f t="shared" si="198"/>
        <v>NN</v>
      </c>
      <c r="AC199" t="str">
        <f>"CC"</f>
        <v>CC</v>
      </c>
      <c r="AD199" t="str">
        <f>"29"</f>
        <v>29</v>
      </c>
      <c r="AE199" t="str">
        <f>"29"</f>
        <v>29</v>
      </c>
      <c r="AF199" t="str">
        <f>"03 Aug 2019 08:00"</f>
        <v>03 Aug 2019 08:00</v>
      </c>
      <c r="AG199" t="str">
        <f>"03 Aug 2019 08:00"</f>
        <v>03 Aug 2019 08:00</v>
      </c>
      <c r="AH199" t="str">
        <f>"03 Aug 2019 08:00"</f>
        <v>03 Aug 2019 08:00</v>
      </c>
      <c r="AI199" t="str">
        <f>"03 Aug 2019 08:00"</f>
        <v>03 Aug 2019 08:00</v>
      </c>
      <c r="AJ199" t="str">
        <f>"03 Aug 2019 08:00"</f>
        <v>03 Aug 2019 08:00</v>
      </c>
      <c r="AK199" t="str">
        <f>"31 Jul 2019 23:00"</f>
        <v>31 Jul 2019 23:00</v>
      </c>
      <c r="AL199" t="str">
        <f>"31 Jul 2019 23:00"</f>
        <v>31 Jul 2019 23:00</v>
      </c>
      <c r="AM199" t="str">
        <f>"31 Jul 2019 23:00"</f>
        <v>31 Jul 2019 23:00</v>
      </c>
      <c r="AN199" t="str">
        <f>"31 Jul 2019 23:00"</f>
        <v>31 Jul 2019 23:00</v>
      </c>
      <c r="AO199" t="str">
        <f>"31 Jul 2019 23:00"</f>
        <v>31 Jul 2019 23:00</v>
      </c>
      <c r="AP199" t="str">
        <f>"31 Jul 2019 13:00"</f>
        <v>31 Jul 2019 13:00</v>
      </c>
      <c r="AQ199" t="str">
        <f>"03 Aug 2019 01:00"</f>
        <v>03 Aug 2019 01:00</v>
      </c>
      <c r="AR199" t="str">
        <f t="shared" si="182"/>
        <v>Y</v>
      </c>
      <c r="AS199" t="str">
        <f t="shared" si="182"/>
        <v>Y</v>
      </c>
      <c r="AT199" t="str">
        <f t="shared" si="182"/>
        <v>Y</v>
      </c>
      <c r="AU199" t="str">
        <f t="shared" si="203"/>
        <v>N</v>
      </c>
      <c r="AV199" t="str">
        <f t="shared" si="203"/>
        <v>N</v>
      </c>
      <c r="AW199" t="str">
        <f>"Delayed : Previous Port Delayed"</f>
        <v>Delayed : Previous Port Delayed</v>
      </c>
      <c r="AX199" t="str">
        <f t="shared" si="199"/>
        <v>No</v>
      </c>
      <c r="AY199" t="str">
        <f>""</f>
        <v/>
      </c>
      <c r="AZ199" t="s">
        <v>12</v>
      </c>
      <c r="BA199" t="s">
        <v>110</v>
      </c>
      <c r="BB199" t="s">
        <v>110</v>
      </c>
    </row>
    <row r="200" spans="1:54">
      <c r="A200" s="7" t="str">
        <f t="shared" si="200"/>
        <v>KTX7OLI128S</v>
      </c>
      <c r="B200" s="8">
        <f t="shared" si="201"/>
        <v>43680.625</v>
      </c>
      <c r="C200" t="str">
        <f>"KTX7"</f>
        <v>KTX7</v>
      </c>
      <c r="D200" t="str">
        <f>"OLI"</f>
        <v>OLI</v>
      </c>
      <c r="E200" t="str">
        <f>"OLIVIA"</f>
        <v>OLIVIA</v>
      </c>
      <c r="F200" t="str">
        <f>"OOCL"</f>
        <v>OOCL</v>
      </c>
      <c r="G200" t="str">
        <f t="shared" si="196"/>
        <v>OOCL</v>
      </c>
      <c r="H200" t="str">
        <f>""</f>
        <v/>
      </c>
      <c r="I200" t="str">
        <f>"128"</f>
        <v>128</v>
      </c>
      <c r="J200" t="str">
        <f>"S"</f>
        <v>S</v>
      </c>
      <c r="K200" t="str">
        <f>"7"</f>
        <v>7</v>
      </c>
      <c r="L200" t="str">
        <f t="shared" si="204"/>
        <v>HKG02</v>
      </c>
      <c r="M200" t="str">
        <f t="shared" si="205"/>
        <v>HIT - Hongkong International Terminals</v>
      </c>
      <c r="N200" t="str">
        <f t="shared" si="197"/>
        <v>HKG</v>
      </c>
      <c r="O200" t="str">
        <f t="shared" si="190"/>
        <v>1</v>
      </c>
      <c r="P200" t="str">
        <f>"CQIZ9"</f>
        <v>CQIZ9</v>
      </c>
      <c r="Q200" t="str">
        <f>"128S"</f>
        <v>128S</v>
      </c>
      <c r="R200" t="str">
        <f>"128S"</f>
        <v>128S</v>
      </c>
      <c r="S200" t="str">
        <f>""</f>
        <v/>
      </c>
      <c r="T200" t="str">
        <f>"04 Aug 2019 05:00"</f>
        <v>04 Aug 2019 05:00</v>
      </c>
      <c r="U200" t="str">
        <f>"04 Aug 2019 20:00"</f>
        <v>04 Aug 2019 20:00</v>
      </c>
      <c r="V200" t="str">
        <f>"15h"</f>
        <v>15h</v>
      </c>
      <c r="W200" t="str">
        <f>"04 Aug 2019 05:00"</f>
        <v>04 Aug 2019 05:00</v>
      </c>
      <c r="X200" t="str">
        <f>""</f>
        <v/>
      </c>
      <c r="Y200" t="str">
        <f>"04 Aug 2019 20:00"</f>
        <v>04 Aug 2019 20:00</v>
      </c>
      <c r="Z200" t="str">
        <f>""</f>
        <v/>
      </c>
      <c r="AA200" t="str">
        <f>""</f>
        <v/>
      </c>
      <c r="AB200" t="str">
        <f t="shared" si="198"/>
        <v>NN</v>
      </c>
      <c r="AC200" t="str">
        <f>"LL"</f>
        <v>LL</v>
      </c>
      <c r="AD200" t="str">
        <f>"0"</f>
        <v>0</v>
      </c>
      <c r="AE200" t="str">
        <f>"0"</f>
        <v>0</v>
      </c>
      <c r="AF200" t="str">
        <f>"05 Aug 2019 00:00"</f>
        <v>05 Aug 2019 00:00</v>
      </c>
      <c r="AG200" t="str">
        <f>"05 Aug 2019 00:00"</f>
        <v>05 Aug 2019 00:00</v>
      </c>
      <c r="AH200" t="str">
        <f>"05 Aug 2019 00:00"</f>
        <v>05 Aug 2019 00:00</v>
      </c>
      <c r="AI200" t="str">
        <f>"05 Aug 2019 00:00"</f>
        <v>05 Aug 2019 00:00</v>
      </c>
      <c r="AJ200" t="str">
        <f>"05 Aug 2019 00:00"</f>
        <v>05 Aug 2019 00:00</v>
      </c>
      <c r="AK200" t="str">
        <f>"03 Aug 2019 23:00"</f>
        <v>03 Aug 2019 23:00</v>
      </c>
      <c r="AL200" t="str">
        <f>"03 Aug 2019 23:00"</f>
        <v>03 Aug 2019 23:00</v>
      </c>
      <c r="AM200" t="str">
        <f>"03 Aug 2019 23:00"</f>
        <v>03 Aug 2019 23:00</v>
      </c>
      <c r="AN200" t="str">
        <f>"03 Aug 2019 23:00"</f>
        <v>03 Aug 2019 23:00</v>
      </c>
      <c r="AO200" t="str">
        <f>"03 Aug 2019 23:00"</f>
        <v>03 Aug 2019 23:00</v>
      </c>
      <c r="AP200" t="str">
        <f>"03 Aug 2019 15:00"</f>
        <v>03 Aug 2019 15:00</v>
      </c>
      <c r="AQ200" t="str">
        <f>"05 Aug 2019 00:00"</f>
        <v>05 Aug 2019 00:00</v>
      </c>
      <c r="AR200" t="str">
        <f t="shared" ref="AR200:AT215" si="206">"Y"</f>
        <v>Y</v>
      </c>
      <c r="AS200" t="str">
        <f t="shared" si="206"/>
        <v>Y</v>
      </c>
      <c r="AT200" t="str">
        <f t="shared" si="206"/>
        <v>Y</v>
      </c>
      <c r="AU200" t="str">
        <f t="shared" si="203"/>
        <v>N</v>
      </c>
      <c r="AV200" t="str">
        <f t="shared" si="203"/>
        <v>N</v>
      </c>
      <c r="AW200" t="str">
        <f>""</f>
        <v/>
      </c>
      <c r="AX200" t="str">
        <f t="shared" si="199"/>
        <v>No</v>
      </c>
      <c r="AY200" t="str">
        <f>""</f>
        <v/>
      </c>
      <c r="AZ200" t="s">
        <v>12</v>
      </c>
      <c r="BA200" t="s">
        <v>110</v>
      </c>
      <c r="BB200" t="s">
        <v>110</v>
      </c>
    </row>
    <row r="201" spans="1:54">
      <c r="A201" s="7" t="str">
        <f t="shared" si="200"/>
        <v>LL3CJA010W</v>
      </c>
      <c r="B201" s="8">
        <f t="shared" si="201"/>
        <v>43679.958333333336</v>
      </c>
      <c r="C201" t="str">
        <f>"LL3"</f>
        <v>LL3</v>
      </c>
      <c r="D201" t="str">
        <f>"CJA"</f>
        <v>CJA</v>
      </c>
      <c r="E201" t="str">
        <f>"COSCO SHIPPING ALPS"</f>
        <v>COSCO SHIPPING ALPS</v>
      </c>
      <c r="F201" t="str">
        <f>"COSCO"</f>
        <v>COSCO</v>
      </c>
      <c r="G201" t="str">
        <f t="shared" si="196"/>
        <v>OOCL</v>
      </c>
      <c r="H201" t="str">
        <f>"NEU3"</f>
        <v>NEU3</v>
      </c>
      <c r="I201" t="str">
        <f>"010"</f>
        <v>010</v>
      </c>
      <c r="J201" t="str">
        <f>"W"</f>
        <v>W</v>
      </c>
      <c r="K201" t="str">
        <f>"3"</f>
        <v>3</v>
      </c>
      <c r="L201" t="str">
        <f t="shared" si="204"/>
        <v>HKG02</v>
      </c>
      <c r="M201" t="str">
        <f t="shared" si="205"/>
        <v>HIT - Hongkong International Terminals</v>
      </c>
      <c r="N201" t="str">
        <f t="shared" si="197"/>
        <v>HKG</v>
      </c>
      <c r="O201" t="str">
        <f t="shared" si="190"/>
        <v>1</v>
      </c>
      <c r="P201" t="str">
        <f>"VRRJ2"</f>
        <v>VRRJ2</v>
      </c>
      <c r="Q201" t="str">
        <f>"010W"</f>
        <v>010W</v>
      </c>
      <c r="R201" t="str">
        <f>"010W"</f>
        <v>010W</v>
      </c>
      <c r="S201" t="str">
        <f>"CHT"</f>
        <v>CHT</v>
      </c>
      <c r="T201" t="str">
        <f>"03 Aug 2019 20:00"</f>
        <v>03 Aug 2019 20:00</v>
      </c>
      <c r="U201" t="str">
        <f>"04 Aug 2019 16:00"</f>
        <v>04 Aug 2019 16:00</v>
      </c>
      <c r="V201" t="str">
        <f>"20h"</f>
        <v>20h</v>
      </c>
      <c r="W201" t="str">
        <f>"03 Aug 2019 17:00"</f>
        <v>03 Aug 2019 17:00</v>
      </c>
      <c r="X201" t="str">
        <f>""</f>
        <v/>
      </c>
      <c r="Y201" t="str">
        <f>"04 Aug 2019 13:00"</f>
        <v>04 Aug 2019 13:00</v>
      </c>
      <c r="Z201" t="str">
        <f>""</f>
        <v/>
      </c>
      <c r="AA201" t="str">
        <f>""</f>
        <v/>
      </c>
      <c r="AB201" t="str">
        <f t="shared" si="198"/>
        <v>NN</v>
      </c>
      <c r="AC201" t="str">
        <f>"CC"</f>
        <v>CC</v>
      </c>
      <c r="AD201" t="str">
        <f>"-3"</f>
        <v>-3</v>
      </c>
      <c r="AE201" t="str">
        <f>"-3"</f>
        <v>-3</v>
      </c>
      <c r="AF201" t="str">
        <f>"04 Aug 2019 17:00"</f>
        <v>04 Aug 2019 17:00</v>
      </c>
      <c r="AG201" t="str">
        <f>"04 Aug 2019 17:00"</f>
        <v>04 Aug 2019 17:00</v>
      </c>
      <c r="AH201" t="str">
        <f>"04 Aug 2019 17:00"</f>
        <v>04 Aug 2019 17:00</v>
      </c>
      <c r="AI201" t="str">
        <f>"04 Aug 2019 17:00"</f>
        <v>04 Aug 2019 17:00</v>
      </c>
      <c r="AJ201" t="str">
        <f>"04 Aug 2019 17:00"</f>
        <v>04 Aug 2019 17:00</v>
      </c>
      <c r="AK201" t="str">
        <f t="shared" ref="AK201:AP201" si="207">"02 Aug 2019 23:00"</f>
        <v>02 Aug 2019 23:00</v>
      </c>
      <c r="AL201" t="str">
        <f t="shared" si="207"/>
        <v>02 Aug 2019 23:00</v>
      </c>
      <c r="AM201" t="str">
        <f t="shared" si="207"/>
        <v>02 Aug 2019 23:00</v>
      </c>
      <c r="AN201" t="str">
        <f t="shared" si="207"/>
        <v>02 Aug 2019 23:00</v>
      </c>
      <c r="AO201" t="str">
        <f t="shared" si="207"/>
        <v>02 Aug 2019 23:00</v>
      </c>
      <c r="AP201" t="str">
        <f t="shared" si="207"/>
        <v>02 Aug 2019 23:00</v>
      </c>
      <c r="AQ201" t="str">
        <f>"04 Aug 2019 13:00"</f>
        <v>04 Aug 2019 13:00</v>
      </c>
      <c r="AR201" t="str">
        <f t="shared" si="206"/>
        <v>Y</v>
      </c>
      <c r="AS201" t="str">
        <f t="shared" si="206"/>
        <v>Y</v>
      </c>
      <c r="AT201" t="str">
        <f t="shared" si="206"/>
        <v>Y</v>
      </c>
      <c r="AU201" t="str">
        <f t="shared" si="203"/>
        <v>N</v>
      </c>
      <c r="AV201" t="str">
        <f t="shared" si="203"/>
        <v>N</v>
      </c>
      <c r="AW201" t="str">
        <f>""</f>
        <v/>
      </c>
      <c r="AX201" t="str">
        <f t="shared" si="199"/>
        <v>No</v>
      </c>
      <c r="AY201" t="str">
        <f>""</f>
        <v/>
      </c>
      <c r="AZ201" t="s">
        <v>12</v>
      </c>
      <c r="BA201" t="s">
        <v>110</v>
      </c>
      <c r="BB201" t="s">
        <v>110</v>
      </c>
    </row>
    <row r="202" spans="1:54">
      <c r="A202" s="7" t="str">
        <f t="shared" si="200"/>
        <v>ME3CUN0NM2XW1PL</v>
      </c>
      <c r="B202" s="8">
        <f t="shared" si="201"/>
        <v>43678.708333333336</v>
      </c>
      <c r="C202" t="str">
        <f>"ME3"</f>
        <v>ME3</v>
      </c>
      <c r="D202" t="str">
        <f>"CUN"</f>
        <v>CUN</v>
      </c>
      <c r="E202" t="str">
        <f>"CSCL SATURN"</f>
        <v>CSCL SATURN</v>
      </c>
      <c r="F202" t="str">
        <f>"APL"</f>
        <v>APL</v>
      </c>
      <c r="G202" t="str">
        <f t="shared" si="196"/>
        <v>OOCL</v>
      </c>
      <c r="H202" t="str">
        <f>"MEA3"</f>
        <v>MEA3</v>
      </c>
      <c r="I202" t="str">
        <f>"393"</f>
        <v>393</v>
      </c>
      <c r="J202" t="str">
        <f>"W"</f>
        <v>W</v>
      </c>
      <c r="K202" t="str">
        <f>"5"</f>
        <v>5</v>
      </c>
      <c r="L202" t="str">
        <f t="shared" si="204"/>
        <v>HKG02</v>
      </c>
      <c r="M202" t="str">
        <f t="shared" si="205"/>
        <v>HIT - Hongkong International Terminals</v>
      </c>
      <c r="N202" t="str">
        <f t="shared" si="197"/>
        <v>HKG</v>
      </c>
      <c r="O202" t="str">
        <f t="shared" si="190"/>
        <v>1</v>
      </c>
      <c r="P202" t="str">
        <f>"VRJS5"</f>
        <v>VRJS5</v>
      </c>
      <c r="Q202" t="str">
        <f>"0NM2XW1PL"</f>
        <v>0NM2XW1PL</v>
      </c>
      <c r="R202" t="str">
        <f>"0NM2XW1PL"</f>
        <v>0NM2XW1PL</v>
      </c>
      <c r="S202" t="str">
        <f>""</f>
        <v/>
      </c>
      <c r="T202" t="str">
        <f>"02 Aug 2019 08:00"</f>
        <v>02 Aug 2019 08:00</v>
      </c>
      <c r="U202" t="str">
        <f>"03 Aug 2019 02:00"</f>
        <v>03 Aug 2019 02:00</v>
      </c>
      <c r="V202" t="str">
        <f>"18h"</f>
        <v>18h</v>
      </c>
      <c r="W202" t="str">
        <f>"02 Aug 2019 08:00"</f>
        <v>02 Aug 2019 08:00</v>
      </c>
      <c r="X202" t="str">
        <f>""</f>
        <v/>
      </c>
      <c r="Y202" t="str">
        <f>"03 Aug 2019 02:00"</f>
        <v>03 Aug 2019 02:00</v>
      </c>
      <c r="Z202" t="str">
        <f>""</f>
        <v/>
      </c>
      <c r="AA202" t="str">
        <f>""</f>
        <v/>
      </c>
      <c r="AB202" t="str">
        <f t="shared" si="198"/>
        <v>NN</v>
      </c>
      <c r="AC202" t="str">
        <f t="shared" ref="AC202:AC220" si="208">"LL"</f>
        <v>LL</v>
      </c>
      <c r="AD202" t="str">
        <f t="shared" ref="AD202:AE220" si="209">"0"</f>
        <v>0</v>
      </c>
      <c r="AE202" t="str">
        <f t="shared" si="209"/>
        <v>0</v>
      </c>
      <c r="AF202" t="str">
        <f>"03 Aug 2019 08:00"</f>
        <v>03 Aug 2019 08:00</v>
      </c>
      <c r="AG202" t="str">
        <f>"03 Aug 2019 08:00"</f>
        <v>03 Aug 2019 08:00</v>
      </c>
      <c r="AH202" t="str">
        <f>"03 Aug 2019 08:00"</f>
        <v>03 Aug 2019 08:00</v>
      </c>
      <c r="AI202" t="str">
        <f>"03 Aug 2019 08:00"</f>
        <v>03 Aug 2019 08:00</v>
      </c>
      <c r="AJ202" t="str">
        <f>"03 Aug 2019 08:00"</f>
        <v>03 Aug 2019 08:00</v>
      </c>
      <c r="AK202" t="str">
        <f t="shared" ref="AK202:AP202" si="210">"01 Aug 2019 17:00"</f>
        <v>01 Aug 2019 17:00</v>
      </c>
      <c r="AL202" t="str">
        <f t="shared" si="210"/>
        <v>01 Aug 2019 17:00</v>
      </c>
      <c r="AM202" t="str">
        <f t="shared" si="210"/>
        <v>01 Aug 2019 17:00</v>
      </c>
      <c r="AN202" t="str">
        <f t="shared" si="210"/>
        <v>01 Aug 2019 17:00</v>
      </c>
      <c r="AO202" t="str">
        <f t="shared" si="210"/>
        <v>01 Aug 2019 17:00</v>
      </c>
      <c r="AP202" t="str">
        <f t="shared" si="210"/>
        <v>01 Aug 2019 17:00</v>
      </c>
      <c r="AQ202" t="str">
        <f>"03 Aug 2019 08:00"</f>
        <v>03 Aug 2019 08:00</v>
      </c>
      <c r="AR202" t="str">
        <f t="shared" si="206"/>
        <v>Y</v>
      </c>
      <c r="AS202" t="str">
        <f t="shared" si="206"/>
        <v>Y</v>
      </c>
      <c r="AT202" t="str">
        <f t="shared" si="206"/>
        <v>Y</v>
      </c>
      <c r="AU202" t="str">
        <f t="shared" si="203"/>
        <v>N</v>
      </c>
      <c r="AV202" t="str">
        <f t="shared" si="203"/>
        <v>N</v>
      </c>
      <c r="AW202" t="str">
        <f>""</f>
        <v/>
      </c>
      <c r="AX202" t="str">
        <f t="shared" si="199"/>
        <v>No</v>
      </c>
      <c r="AY202" t="str">
        <f>""</f>
        <v/>
      </c>
      <c r="AZ202" t="s">
        <v>12</v>
      </c>
      <c r="BA202" t="s">
        <v>115</v>
      </c>
      <c r="BB202" t="s">
        <v>110</v>
      </c>
    </row>
    <row r="203" spans="1:54">
      <c r="A203" s="7" t="str">
        <f t="shared" si="200"/>
        <v>PASXDL055N</v>
      </c>
      <c r="B203" s="8">
        <f t="shared" si="201"/>
        <v>43681.416666666664</v>
      </c>
      <c r="C203" t="str">
        <f>"PAS"</f>
        <v>PAS</v>
      </c>
      <c r="D203" t="str">
        <f>"XDL"</f>
        <v>XDL</v>
      </c>
      <c r="E203" t="str">
        <f>"XIN DA LIAN"</f>
        <v>XIN DA LIAN</v>
      </c>
      <c r="F203" t="str">
        <f>"COSCO"</f>
        <v>COSCO</v>
      </c>
      <c r="G203" t="str">
        <f t="shared" si="196"/>
        <v>OOCL</v>
      </c>
      <c r="H203" t="str">
        <f>""</f>
        <v/>
      </c>
      <c r="I203" t="str">
        <f>"055"</f>
        <v>055</v>
      </c>
      <c r="J203" t="str">
        <f>"N"</f>
        <v>N</v>
      </c>
      <c r="K203" t="str">
        <f>"4"</f>
        <v>4</v>
      </c>
      <c r="L203" t="str">
        <f t="shared" si="204"/>
        <v>HKG02</v>
      </c>
      <c r="M203" t="str">
        <f t="shared" si="205"/>
        <v>HIT - Hongkong International Terminals</v>
      </c>
      <c r="N203" t="str">
        <f t="shared" si="197"/>
        <v>HKG</v>
      </c>
      <c r="O203" t="str">
        <f t="shared" si="190"/>
        <v>1</v>
      </c>
      <c r="P203" t="str">
        <f>"BPAO"</f>
        <v>BPAO</v>
      </c>
      <c r="Q203" t="str">
        <f>"055N"</f>
        <v>055N</v>
      </c>
      <c r="R203" t="str">
        <f>"055N"</f>
        <v>055N</v>
      </c>
      <c r="S203" t="str">
        <f>""</f>
        <v/>
      </c>
      <c r="T203" t="str">
        <f>"05 Aug 2019 15:00"</f>
        <v>05 Aug 2019 15:00</v>
      </c>
      <c r="U203" t="str">
        <f>"06 Aug 2019 03:00"</f>
        <v>06 Aug 2019 03:00</v>
      </c>
      <c r="V203" t="str">
        <f>"12h"</f>
        <v>12h</v>
      </c>
      <c r="W203" t="str">
        <f>"05 Aug 2019 15:00"</f>
        <v>05 Aug 2019 15:00</v>
      </c>
      <c r="X203" t="str">
        <f>""</f>
        <v/>
      </c>
      <c r="Y203" t="str">
        <f>"06 Aug 2019 03:00"</f>
        <v>06 Aug 2019 03:00</v>
      </c>
      <c r="Z203" t="str">
        <f>""</f>
        <v/>
      </c>
      <c r="AA203" t="str">
        <f>""</f>
        <v/>
      </c>
      <c r="AB203" t="str">
        <f t="shared" si="198"/>
        <v>NN</v>
      </c>
      <c r="AC203" t="str">
        <f t="shared" si="208"/>
        <v>LL</v>
      </c>
      <c r="AD203" t="str">
        <f t="shared" si="209"/>
        <v>0</v>
      </c>
      <c r="AE203" t="str">
        <f t="shared" si="209"/>
        <v>0</v>
      </c>
      <c r="AF203" t="str">
        <f>"06 Aug 2019 04:00"</f>
        <v>06 Aug 2019 04:00</v>
      </c>
      <c r="AG203" t="str">
        <f>"06 Aug 2019 04:00"</f>
        <v>06 Aug 2019 04:00</v>
      </c>
      <c r="AH203" t="str">
        <f>"06 Aug 2019 04:00"</f>
        <v>06 Aug 2019 04:00</v>
      </c>
      <c r="AI203" t="str">
        <f>"06 Aug 2019 04:00"</f>
        <v>06 Aug 2019 04:00</v>
      </c>
      <c r="AJ203" t="str">
        <f>"06 Aug 2019 04:00"</f>
        <v>06 Aug 2019 04:00</v>
      </c>
      <c r="AK203" t="str">
        <f t="shared" ref="AK203:AP203" si="211">"04 Aug 2019 10:00"</f>
        <v>04 Aug 2019 10:00</v>
      </c>
      <c r="AL203" t="str">
        <f t="shared" si="211"/>
        <v>04 Aug 2019 10:00</v>
      </c>
      <c r="AM203" t="str">
        <f t="shared" si="211"/>
        <v>04 Aug 2019 10:00</v>
      </c>
      <c r="AN203" t="str">
        <f t="shared" si="211"/>
        <v>04 Aug 2019 10:00</v>
      </c>
      <c r="AO203" t="str">
        <f t="shared" si="211"/>
        <v>04 Aug 2019 10:00</v>
      </c>
      <c r="AP203" t="str">
        <f t="shared" si="211"/>
        <v>04 Aug 2019 10:00</v>
      </c>
      <c r="AQ203" t="str">
        <f>"06 Aug 2019 04:00"</f>
        <v>06 Aug 2019 04:00</v>
      </c>
      <c r="AR203" t="str">
        <f t="shared" si="206"/>
        <v>Y</v>
      </c>
      <c r="AS203" t="str">
        <f t="shared" si="206"/>
        <v>Y</v>
      </c>
      <c r="AT203" t="str">
        <f t="shared" si="206"/>
        <v>Y</v>
      </c>
      <c r="AU203" t="str">
        <f t="shared" si="203"/>
        <v>N</v>
      </c>
      <c r="AV203" t="str">
        <f t="shared" si="203"/>
        <v>N</v>
      </c>
      <c r="AW203" t="str">
        <f>""</f>
        <v/>
      </c>
      <c r="AX203" t="str">
        <f t="shared" si="199"/>
        <v>No</v>
      </c>
      <c r="AY203" t="str">
        <f>""</f>
        <v/>
      </c>
      <c r="AZ203" t="s">
        <v>12</v>
      </c>
      <c r="BA203" t="s">
        <v>110</v>
      </c>
      <c r="BB203" t="s">
        <v>110</v>
      </c>
    </row>
    <row r="204" spans="1:54">
      <c r="A204" s="7" t="str">
        <f t="shared" si="200"/>
        <v>PHF2WHPS250</v>
      </c>
      <c r="B204" s="8">
        <f t="shared" si="201"/>
        <v>43681.833333333336</v>
      </c>
      <c r="C204" t="str">
        <f>"PHF2"</f>
        <v>PHF2</v>
      </c>
      <c r="D204" t="str">
        <f>"WHP"</f>
        <v>WHP</v>
      </c>
      <c r="E204" t="str">
        <f>"WAN HAI 302"</f>
        <v>WAN HAI 302</v>
      </c>
      <c r="F204" t="str">
        <f>"WHL"</f>
        <v>WHL</v>
      </c>
      <c r="G204" t="str">
        <f t="shared" si="196"/>
        <v>OOCL</v>
      </c>
      <c r="H204" t="str">
        <f>""</f>
        <v/>
      </c>
      <c r="I204" t="str">
        <f>"249"</f>
        <v>249</v>
      </c>
      <c r="J204" t="str">
        <f>"N"</f>
        <v>N</v>
      </c>
      <c r="K204" t="str">
        <f>"2"</f>
        <v>2</v>
      </c>
      <c r="L204" t="str">
        <f t="shared" si="204"/>
        <v>HKG02</v>
      </c>
      <c r="M204" t="str">
        <f t="shared" si="205"/>
        <v>HIT - Hongkong International Terminals</v>
      </c>
      <c r="N204" t="str">
        <f t="shared" si="197"/>
        <v>HKG</v>
      </c>
      <c r="O204" t="str">
        <f t="shared" si="190"/>
        <v>1</v>
      </c>
      <c r="P204" t="str">
        <f>"9VDB8"</f>
        <v>9VDB8</v>
      </c>
      <c r="Q204" t="str">
        <f>"N249"</f>
        <v>N249</v>
      </c>
      <c r="R204" t="str">
        <f>"S250"</f>
        <v>S250</v>
      </c>
      <c r="S204" t="str">
        <f>""</f>
        <v/>
      </c>
      <c r="T204" t="str">
        <f>"05 Aug 2019 02:00"</f>
        <v>05 Aug 2019 02:00</v>
      </c>
      <c r="U204" t="str">
        <f>"05 Aug 2019 22:00"</f>
        <v>05 Aug 2019 22:00</v>
      </c>
      <c r="V204" t="str">
        <f>"20h"</f>
        <v>20h</v>
      </c>
      <c r="W204" t="str">
        <f>"05 Aug 2019 02:00"</f>
        <v>05 Aug 2019 02:00</v>
      </c>
      <c r="X204" t="str">
        <f>""</f>
        <v/>
      </c>
      <c r="Y204" t="str">
        <f>"05 Aug 2019 22:00"</f>
        <v>05 Aug 2019 22:00</v>
      </c>
      <c r="Z204" t="str">
        <f>""</f>
        <v/>
      </c>
      <c r="AA204" t="str">
        <f>""</f>
        <v/>
      </c>
      <c r="AB204" t="str">
        <f t="shared" si="198"/>
        <v>NN</v>
      </c>
      <c r="AC204" t="str">
        <f t="shared" si="208"/>
        <v>LL</v>
      </c>
      <c r="AD204" t="str">
        <f t="shared" si="209"/>
        <v>0</v>
      </c>
      <c r="AE204" t="str">
        <f t="shared" si="209"/>
        <v>0</v>
      </c>
      <c r="AF204" t="str">
        <f>"05 Aug 2019 23:00"</f>
        <v>05 Aug 2019 23:00</v>
      </c>
      <c r="AG204" t="str">
        <f>"05 Aug 2019 23:00"</f>
        <v>05 Aug 2019 23:00</v>
      </c>
      <c r="AH204" t="str">
        <f>"05 Aug 2019 23:00"</f>
        <v>05 Aug 2019 23:00</v>
      </c>
      <c r="AI204" t="str">
        <f>"05 Aug 2019 23:00"</f>
        <v>05 Aug 2019 23:00</v>
      </c>
      <c r="AJ204" t="str">
        <f>"05 Aug 2019 23:00"</f>
        <v>05 Aug 2019 23:00</v>
      </c>
      <c r="AK204" t="str">
        <f t="shared" ref="AK204:AP204" si="212">"04 Aug 2019 20:00"</f>
        <v>04 Aug 2019 20:00</v>
      </c>
      <c r="AL204" t="str">
        <f t="shared" si="212"/>
        <v>04 Aug 2019 20:00</v>
      </c>
      <c r="AM204" t="str">
        <f t="shared" si="212"/>
        <v>04 Aug 2019 20:00</v>
      </c>
      <c r="AN204" t="str">
        <f t="shared" si="212"/>
        <v>04 Aug 2019 20:00</v>
      </c>
      <c r="AO204" t="str">
        <f t="shared" si="212"/>
        <v>04 Aug 2019 20:00</v>
      </c>
      <c r="AP204" t="str">
        <f t="shared" si="212"/>
        <v>04 Aug 2019 20:00</v>
      </c>
      <c r="AQ204" t="str">
        <f>"05 Aug 2019 22:00"</f>
        <v>05 Aug 2019 22:00</v>
      </c>
      <c r="AR204" t="str">
        <f>"N"</f>
        <v>N</v>
      </c>
      <c r="AS204" t="str">
        <f>"N"</f>
        <v>N</v>
      </c>
      <c r="AT204" t="str">
        <f t="shared" si="206"/>
        <v>Y</v>
      </c>
      <c r="AU204" t="str">
        <f t="shared" si="203"/>
        <v>N</v>
      </c>
      <c r="AV204" t="str">
        <f t="shared" si="203"/>
        <v>N</v>
      </c>
      <c r="AW204" t="str">
        <f>""</f>
        <v/>
      </c>
      <c r="AX204" t="str">
        <f t="shared" si="199"/>
        <v>No</v>
      </c>
      <c r="AY204" t="str">
        <f>"phase out, PHF2 WHL string terminate"</f>
        <v>phase out, PHF2 WHL string terminate</v>
      </c>
      <c r="AZ204" t="s">
        <v>12</v>
      </c>
      <c r="BA204" t="s">
        <v>110</v>
      </c>
      <c r="BB204" t="s">
        <v>110</v>
      </c>
    </row>
    <row r="205" spans="1:54">
      <c r="A205" s="7" t="str">
        <f t="shared" si="200"/>
        <v>PHKG2GK190803N</v>
      </c>
      <c r="B205" s="8">
        <f t="shared" si="201"/>
        <v>43679.5</v>
      </c>
      <c r="C205" t="str">
        <f t="shared" ref="C205:C220" si="213">"PHKG"</f>
        <v>PHKG</v>
      </c>
      <c r="D205" t="str">
        <f>"2GK"</f>
        <v>2GK</v>
      </c>
      <c r="E205" t="str">
        <f>"HUI WAN 016"</f>
        <v>HUI WAN 016</v>
      </c>
      <c r="F205" t="str">
        <f>"USAS"</f>
        <v>USAS</v>
      </c>
      <c r="G205" t="str">
        <f t="shared" si="196"/>
        <v>OOCL</v>
      </c>
      <c r="H205" t="str">
        <f>""</f>
        <v/>
      </c>
      <c r="I205" t="str">
        <f>"238"</f>
        <v>238</v>
      </c>
      <c r="J205" t="str">
        <f>"N"</f>
        <v>N</v>
      </c>
      <c r="K205" t="str">
        <f>"1"</f>
        <v>1</v>
      </c>
      <c r="L205" t="str">
        <f>"HKG13"</f>
        <v>HKG13</v>
      </c>
      <c r="M205" t="str">
        <f>"River Trade Terminal Co., Ltd"</f>
        <v>River Trade Terminal Co., Ltd</v>
      </c>
      <c r="N205" t="str">
        <f t="shared" si="197"/>
        <v>HKG</v>
      </c>
      <c r="O205" t="str">
        <f t="shared" si="190"/>
        <v>1</v>
      </c>
      <c r="P205" t="str">
        <f>""</f>
        <v/>
      </c>
      <c r="Q205" t="str">
        <f>"190803N"</f>
        <v>190803N</v>
      </c>
      <c r="R205" t="str">
        <f>"190803N"</f>
        <v>190803N</v>
      </c>
      <c r="S205" t="str">
        <f>""</f>
        <v/>
      </c>
      <c r="T205" t="str">
        <f>"02 Aug 2019 23:00"</f>
        <v>02 Aug 2019 23:00</v>
      </c>
      <c r="U205" t="str">
        <f>"03 Aug 2019 00:00"</f>
        <v>03 Aug 2019 00:00</v>
      </c>
      <c r="V205" t="str">
        <f t="shared" ref="V205:V216" si="214">"1h"</f>
        <v>1h</v>
      </c>
      <c r="W205" t="str">
        <f>"02 Aug 2019 23:00"</f>
        <v>02 Aug 2019 23:00</v>
      </c>
      <c r="X205" t="str">
        <f>""</f>
        <v/>
      </c>
      <c r="Y205" t="str">
        <f>"03 Aug 2019 00:00"</f>
        <v>03 Aug 2019 00:00</v>
      </c>
      <c r="Z205" t="str">
        <f>""</f>
        <v/>
      </c>
      <c r="AA205" t="str">
        <f>""</f>
        <v/>
      </c>
      <c r="AB205" t="str">
        <f t="shared" si="198"/>
        <v>NN</v>
      </c>
      <c r="AC205" t="str">
        <f t="shared" si="208"/>
        <v>LL</v>
      </c>
      <c r="AD205" t="str">
        <f t="shared" si="209"/>
        <v>0</v>
      </c>
      <c r="AE205" t="str">
        <f t="shared" si="209"/>
        <v>0</v>
      </c>
      <c r="AF205" t="str">
        <f t="shared" ref="AF205:AJ206" si="215">"02 Aug 2019 23:00"</f>
        <v>02 Aug 2019 23:00</v>
      </c>
      <c r="AG205" t="str">
        <f t="shared" si="215"/>
        <v>02 Aug 2019 23:00</v>
      </c>
      <c r="AH205" t="str">
        <f t="shared" si="215"/>
        <v>02 Aug 2019 23:00</v>
      </c>
      <c r="AI205" t="str">
        <f t="shared" si="215"/>
        <v>02 Aug 2019 23:00</v>
      </c>
      <c r="AJ205" t="str">
        <f t="shared" si="215"/>
        <v>02 Aug 2019 23:00</v>
      </c>
      <c r="AK205" t="str">
        <f t="shared" ref="AK205:AP206" si="216">"02 Aug 2019 12:00"</f>
        <v>02 Aug 2019 12:00</v>
      </c>
      <c r="AL205" t="str">
        <f t="shared" si="216"/>
        <v>02 Aug 2019 12:00</v>
      </c>
      <c r="AM205" t="str">
        <f t="shared" si="216"/>
        <v>02 Aug 2019 12:00</v>
      </c>
      <c r="AN205" t="str">
        <f t="shared" si="216"/>
        <v>02 Aug 2019 12:00</v>
      </c>
      <c r="AO205" t="str">
        <f t="shared" si="216"/>
        <v>02 Aug 2019 12:00</v>
      </c>
      <c r="AP205" t="str">
        <f t="shared" si="216"/>
        <v>02 Aug 2019 12:00</v>
      </c>
      <c r="AQ205" t="str">
        <f>"02 Aug 2019 23:00"</f>
        <v>02 Aug 2019 23:00</v>
      </c>
      <c r="AR205" t="str">
        <f t="shared" ref="AR205:AT236" si="217">"Y"</f>
        <v>Y</v>
      </c>
      <c r="AS205" t="str">
        <f t="shared" si="217"/>
        <v>Y</v>
      </c>
      <c r="AT205" t="str">
        <f t="shared" si="206"/>
        <v>Y</v>
      </c>
      <c r="AU205" t="str">
        <f t="shared" si="203"/>
        <v>N</v>
      </c>
      <c r="AV205" t="str">
        <f t="shared" si="203"/>
        <v>N</v>
      </c>
      <c r="AW205" t="str">
        <f>""</f>
        <v/>
      </c>
      <c r="AX205" t="str">
        <f t="shared" si="199"/>
        <v>No</v>
      </c>
      <c r="AY205" t="str">
        <f>""</f>
        <v/>
      </c>
      <c r="AZ205" t="s">
        <v>12</v>
      </c>
      <c r="BA205" t="s">
        <v>110</v>
      </c>
      <c r="BB205" t="s">
        <v>134</v>
      </c>
    </row>
    <row r="206" spans="1:54">
      <c r="A206" s="7" t="str">
        <f t="shared" si="200"/>
        <v>PHKGXE4190802N</v>
      </c>
      <c r="B206" s="8">
        <f t="shared" si="201"/>
        <v>43679.5</v>
      </c>
      <c r="C206" t="str">
        <f t="shared" si="213"/>
        <v>PHKG</v>
      </c>
      <c r="D206" t="str">
        <f>"XE4"</f>
        <v>XE4</v>
      </c>
      <c r="E206" t="str">
        <f>"GONG PING"</f>
        <v>GONG PING</v>
      </c>
      <c r="F206" t="str">
        <f>""</f>
        <v/>
      </c>
      <c r="G206" t="str">
        <f t="shared" si="196"/>
        <v>OOCL</v>
      </c>
      <c r="H206" t="str">
        <f>""</f>
        <v/>
      </c>
      <c r="I206" t="str">
        <f>"209"</f>
        <v>209</v>
      </c>
      <c r="J206" t="str">
        <f>"N"</f>
        <v>N</v>
      </c>
      <c r="K206" t="str">
        <f>"1"</f>
        <v>1</v>
      </c>
      <c r="L206" t="str">
        <f>"HKG13"</f>
        <v>HKG13</v>
      </c>
      <c r="M206" t="str">
        <f>"River Trade Terminal Co., Ltd"</f>
        <v>River Trade Terminal Co., Ltd</v>
      </c>
      <c r="N206" t="str">
        <f t="shared" si="197"/>
        <v>HKG</v>
      </c>
      <c r="O206" t="str">
        <f t="shared" si="190"/>
        <v>1</v>
      </c>
      <c r="P206" t="str">
        <f>""</f>
        <v/>
      </c>
      <c r="Q206" t="str">
        <f>"190802N"</f>
        <v>190802N</v>
      </c>
      <c r="R206" t="str">
        <f>"190802N"</f>
        <v>190802N</v>
      </c>
      <c r="S206" t="str">
        <f>""</f>
        <v/>
      </c>
      <c r="T206" t="str">
        <f>"02 Aug 2019 23:00"</f>
        <v>02 Aug 2019 23:00</v>
      </c>
      <c r="U206" t="str">
        <f>"03 Aug 2019 00:00"</f>
        <v>03 Aug 2019 00:00</v>
      </c>
      <c r="V206" t="str">
        <f t="shared" si="214"/>
        <v>1h</v>
      </c>
      <c r="W206" t="str">
        <f>"02 Aug 2019 23:00"</f>
        <v>02 Aug 2019 23:00</v>
      </c>
      <c r="X206" t="str">
        <f>""</f>
        <v/>
      </c>
      <c r="Y206" t="str">
        <f>"03 Aug 2019 00:00"</f>
        <v>03 Aug 2019 00:00</v>
      </c>
      <c r="Z206" t="str">
        <f>""</f>
        <v/>
      </c>
      <c r="AA206" t="str">
        <f>""</f>
        <v/>
      </c>
      <c r="AB206" t="str">
        <f t="shared" si="198"/>
        <v>NN</v>
      </c>
      <c r="AC206" t="str">
        <f t="shared" si="208"/>
        <v>LL</v>
      </c>
      <c r="AD206" t="str">
        <f t="shared" si="209"/>
        <v>0</v>
      </c>
      <c r="AE206" t="str">
        <f t="shared" si="209"/>
        <v>0</v>
      </c>
      <c r="AF206" t="str">
        <f t="shared" si="215"/>
        <v>02 Aug 2019 23:00</v>
      </c>
      <c r="AG206" t="str">
        <f t="shared" si="215"/>
        <v>02 Aug 2019 23:00</v>
      </c>
      <c r="AH206" t="str">
        <f t="shared" si="215"/>
        <v>02 Aug 2019 23:00</v>
      </c>
      <c r="AI206" t="str">
        <f t="shared" si="215"/>
        <v>02 Aug 2019 23:00</v>
      </c>
      <c r="AJ206" t="str">
        <f t="shared" si="215"/>
        <v>02 Aug 2019 23:00</v>
      </c>
      <c r="AK206" t="str">
        <f t="shared" si="216"/>
        <v>02 Aug 2019 12:00</v>
      </c>
      <c r="AL206" t="str">
        <f t="shared" si="216"/>
        <v>02 Aug 2019 12:00</v>
      </c>
      <c r="AM206" t="str">
        <f t="shared" si="216"/>
        <v>02 Aug 2019 12:00</v>
      </c>
      <c r="AN206" t="str">
        <f t="shared" si="216"/>
        <v>02 Aug 2019 12:00</v>
      </c>
      <c r="AO206" t="str">
        <f t="shared" si="216"/>
        <v>02 Aug 2019 12:00</v>
      </c>
      <c r="AP206" t="str">
        <f t="shared" si="216"/>
        <v>02 Aug 2019 12:00</v>
      </c>
      <c r="AQ206" t="str">
        <f>"02 Aug 2019 23:00"</f>
        <v>02 Aug 2019 23:00</v>
      </c>
      <c r="AR206" t="str">
        <f t="shared" si="217"/>
        <v>Y</v>
      </c>
      <c r="AS206" t="str">
        <f t="shared" si="217"/>
        <v>Y</v>
      </c>
      <c r="AT206" t="str">
        <f t="shared" si="206"/>
        <v>Y</v>
      </c>
      <c r="AU206" t="str">
        <f t="shared" si="203"/>
        <v>N</v>
      </c>
      <c r="AV206" t="str">
        <f t="shared" si="203"/>
        <v>N</v>
      </c>
      <c r="AW206" t="str">
        <f>""</f>
        <v/>
      </c>
      <c r="AX206" t="str">
        <f t="shared" si="199"/>
        <v>No</v>
      </c>
      <c r="AY206" t="str">
        <f>""</f>
        <v/>
      </c>
      <c r="AZ206" t="s">
        <v>12</v>
      </c>
      <c r="BA206" t="s">
        <v>110</v>
      </c>
      <c r="BB206" t="s">
        <v>110</v>
      </c>
    </row>
    <row r="207" spans="1:54">
      <c r="A207" s="7" t="str">
        <f t="shared" si="200"/>
        <v>PHKGVO5435S</v>
      </c>
      <c r="B207" s="8" t="e">
        <f t="shared" si="201"/>
        <v>#VALUE!</v>
      </c>
      <c r="C207" t="str">
        <f t="shared" si="213"/>
        <v>PHKG</v>
      </c>
      <c r="D207" t="str">
        <f>"VO5"</f>
        <v>VO5</v>
      </c>
      <c r="E207" t="str">
        <f>"XIE HANG 333"</f>
        <v>XIE HANG 333</v>
      </c>
      <c r="F207" t="str">
        <f>""</f>
        <v/>
      </c>
      <c r="G207" t="str">
        <f t="shared" si="196"/>
        <v>OOCL</v>
      </c>
      <c r="H207" t="str">
        <f>""</f>
        <v/>
      </c>
      <c r="I207" t="str">
        <f>"435"</f>
        <v>435</v>
      </c>
      <c r="J207" t="str">
        <f t="shared" ref="J207:J216" si="218">"S"</f>
        <v>S</v>
      </c>
      <c r="K207" t="str">
        <f>"2"</f>
        <v>2</v>
      </c>
      <c r="L207" t="str">
        <f>"HKG13"</f>
        <v>HKG13</v>
      </c>
      <c r="M207" t="str">
        <f>"River Trade Terminal Co., Ltd"</f>
        <v>River Trade Terminal Co., Ltd</v>
      </c>
      <c r="N207" t="str">
        <f t="shared" si="197"/>
        <v>HKG</v>
      </c>
      <c r="O207" t="str">
        <f t="shared" si="190"/>
        <v>1</v>
      </c>
      <c r="P207" t="str">
        <f>""</f>
        <v/>
      </c>
      <c r="Q207" t="str">
        <f>"435S"</f>
        <v>435S</v>
      </c>
      <c r="R207" t="str">
        <f>"435S"</f>
        <v>435S</v>
      </c>
      <c r="S207" t="str">
        <f>""</f>
        <v/>
      </c>
      <c r="T207" t="str">
        <f>"03 Aug 2019 09:00"</f>
        <v>03 Aug 2019 09:00</v>
      </c>
      <c r="U207" t="str">
        <f>"03 Aug 2019 10:00"</f>
        <v>03 Aug 2019 10:00</v>
      </c>
      <c r="V207" t="str">
        <f t="shared" si="214"/>
        <v>1h</v>
      </c>
      <c r="W207" t="str">
        <f>"03 Aug 2019 09:00"</f>
        <v>03 Aug 2019 09:00</v>
      </c>
      <c r="X207" t="str">
        <f>""</f>
        <v/>
      </c>
      <c r="Y207" t="str">
        <f>"03 Aug 2019 10:00"</f>
        <v>03 Aug 2019 10:00</v>
      </c>
      <c r="Z207" t="str">
        <f>""</f>
        <v/>
      </c>
      <c r="AA207" t="str">
        <f>""</f>
        <v/>
      </c>
      <c r="AB207" t="str">
        <f t="shared" si="198"/>
        <v>NN</v>
      </c>
      <c r="AC207" t="str">
        <f t="shared" si="208"/>
        <v>LL</v>
      </c>
      <c r="AD207" t="str">
        <f t="shared" si="209"/>
        <v>0</v>
      </c>
      <c r="AE207" t="str">
        <f t="shared" si="209"/>
        <v>0</v>
      </c>
      <c r="AF207" t="str">
        <f>"03 Aug 2019 09:00"</f>
        <v>03 Aug 2019 09:00</v>
      </c>
      <c r="AG207" t="str">
        <f>"03 Aug 2019 09:00"</f>
        <v>03 Aug 2019 09:00</v>
      </c>
      <c r="AH207" t="str">
        <f>"03 Aug 2019 09:00"</f>
        <v>03 Aug 2019 09:00</v>
      </c>
      <c r="AI207" t="str">
        <f>"03 Aug 2019 09:00"</f>
        <v>03 Aug 2019 09:00</v>
      </c>
      <c r="AJ207" t="str">
        <f>"03 Aug 2019 09:00"</f>
        <v>03 Aug 2019 09:00</v>
      </c>
      <c r="AK207" t="str">
        <f>"03 Aug 2019 10:00"</f>
        <v>03 Aug 2019 10:00</v>
      </c>
      <c r="AL207" t="str">
        <f>"03 Aug 2019 10:00"</f>
        <v>03 Aug 2019 10:00</v>
      </c>
      <c r="AM207" t="str">
        <f>"03 Aug 2019 10:00"</f>
        <v>03 Aug 2019 10:00</v>
      </c>
      <c r="AN207" t="str">
        <f>"03 Aug 2019 10:00"</f>
        <v>03 Aug 2019 10:00</v>
      </c>
      <c r="AO207" t="str">
        <f>"03 Aug 2019 10:00"</f>
        <v>03 Aug 2019 10:00</v>
      </c>
      <c r="AP207" t="str">
        <f>""</f>
        <v/>
      </c>
      <c r="AQ207" t="str">
        <f>"03 Aug 2019 09:00"</f>
        <v>03 Aug 2019 09:00</v>
      </c>
      <c r="AR207" t="str">
        <f t="shared" si="217"/>
        <v>Y</v>
      </c>
      <c r="AS207" t="str">
        <f t="shared" si="217"/>
        <v>Y</v>
      </c>
      <c r="AT207" t="str">
        <f t="shared" si="206"/>
        <v>Y</v>
      </c>
      <c r="AU207" t="str">
        <f t="shared" si="203"/>
        <v>N</v>
      </c>
      <c r="AV207" t="str">
        <f t="shared" si="203"/>
        <v>N</v>
      </c>
      <c r="AW207" t="str">
        <f>""</f>
        <v/>
      </c>
      <c r="AX207" t="str">
        <f t="shared" si="199"/>
        <v>No</v>
      </c>
      <c r="AY207" t="str">
        <f>""</f>
        <v/>
      </c>
      <c r="AZ207" t="s">
        <v>12</v>
      </c>
      <c r="BA207" t="s">
        <v>110</v>
      </c>
      <c r="BB207" t="s">
        <v>110</v>
      </c>
    </row>
    <row r="208" spans="1:54">
      <c r="A208" s="7" t="str">
        <f t="shared" si="200"/>
        <v>PHKGVO5436S</v>
      </c>
      <c r="B208" s="8" t="e">
        <f t="shared" si="201"/>
        <v>#VALUE!</v>
      </c>
      <c r="C208" t="str">
        <f t="shared" si="213"/>
        <v>PHKG</v>
      </c>
      <c r="D208" t="str">
        <f>"VO5"</f>
        <v>VO5</v>
      </c>
      <c r="E208" t="str">
        <f>"XIE HANG 333"</f>
        <v>XIE HANG 333</v>
      </c>
      <c r="F208" t="str">
        <f>""</f>
        <v/>
      </c>
      <c r="G208" t="str">
        <f t="shared" si="196"/>
        <v>OOCL</v>
      </c>
      <c r="H208" t="str">
        <f>""</f>
        <v/>
      </c>
      <c r="I208" t="str">
        <f>"436"</f>
        <v>436</v>
      </c>
      <c r="J208" t="str">
        <f t="shared" si="218"/>
        <v>S</v>
      </c>
      <c r="K208" t="str">
        <f>"2"</f>
        <v>2</v>
      </c>
      <c r="L208" t="str">
        <f>"HKG13"</f>
        <v>HKG13</v>
      </c>
      <c r="M208" t="str">
        <f>"River Trade Terminal Co., Ltd"</f>
        <v>River Trade Terminal Co., Ltd</v>
      </c>
      <c r="N208" t="str">
        <f t="shared" si="197"/>
        <v>HKG</v>
      </c>
      <c r="O208" t="str">
        <f t="shared" si="190"/>
        <v>1</v>
      </c>
      <c r="P208" t="str">
        <f>""</f>
        <v/>
      </c>
      <c r="Q208" t="str">
        <f>"436S"</f>
        <v>436S</v>
      </c>
      <c r="R208" t="str">
        <f>"436S"</f>
        <v>436S</v>
      </c>
      <c r="S208" t="str">
        <f>""</f>
        <v/>
      </c>
      <c r="T208" t="str">
        <f>"06 Aug 2019 09:00"</f>
        <v>06 Aug 2019 09:00</v>
      </c>
      <c r="U208" t="str">
        <f>"06 Aug 2019 10:00"</f>
        <v>06 Aug 2019 10:00</v>
      </c>
      <c r="V208" t="str">
        <f t="shared" si="214"/>
        <v>1h</v>
      </c>
      <c r="W208" t="str">
        <f>"06 Aug 2019 09:00"</f>
        <v>06 Aug 2019 09:00</v>
      </c>
      <c r="X208" t="str">
        <f>""</f>
        <v/>
      </c>
      <c r="Y208" t="str">
        <f>"06 Aug 2019 10:00"</f>
        <v>06 Aug 2019 10:00</v>
      </c>
      <c r="Z208" t="str">
        <f>""</f>
        <v/>
      </c>
      <c r="AA208" t="str">
        <f>""</f>
        <v/>
      </c>
      <c r="AB208" t="str">
        <f t="shared" si="198"/>
        <v>NN</v>
      </c>
      <c r="AC208" t="str">
        <f t="shared" si="208"/>
        <v>LL</v>
      </c>
      <c r="AD208" t="str">
        <f t="shared" si="209"/>
        <v>0</v>
      </c>
      <c r="AE208" t="str">
        <f t="shared" si="209"/>
        <v>0</v>
      </c>
      <c r="AF208" t="str">
        <f>"06 Aug 2019 09:00"</f>
        <v>06 Aug 2019 09:00</v>
      </c>
      <c r="AG208" t="str">
        <f>"06 Aug 2019 09:00"</f>
        <v>06 Aug 2019 09:00</v>
      </c>
      <c r="AH208" t="str">
        <f>"06 Aug 2019 09:00"</f>
        <v>06 Aug 2019 09:00</v>
      </c>
      <c r="AI208" t="str">
        <f>"06 Aug 2019 09:00"</f>
        <v>06 Aug 2019 09:00</v>
      </c>
      <c r="AJ208" t="str">
        <f>"06 Aug 2019 09:00"</f>
        <v>06 Aug 2019 09:00</v>
      </c>
      <c r="AK208" t="str">
        <f>"06 Aug 2019 10:00"</f>
        <v>06 Aug 2019 10:00</v>
      </c>
      <c r="AL208" t="str">
        <f>"06 Aug 2019 10:00"</f>
        <v>06 Aug 2019 10:00</v>
      </c>
      <c r="AM208" t="str">
        <f>"06 Aug 2019 10:00"</f>
        <v>06 Aug 2019 10:00</v>
      </c>
      <c r="AN208" t="str">
        <f>"06 Aug 2019 10:00"</f>
        <v>06 Aug 2019 10:00</v>
      </c>
      <c r="AO208" t="str">
        <f>"06 Aug 2019 10:00"</f>
        <v>06 Aug 2019 10:00</v>
      </c>
      <c r="AP208" t="str">
        <f>""</f>
        <v/>
      </c>
      <c r="AQ208" t="str">
        <f>"06 Aug 2019 09:00"</f>
        <v>06 Aug 2019 09:00</v>
      </c>
      <c r="AR208" t="str">
        <f t="shared" si="217"/>
        <v>Y</v>
      </c>
      <c r="AS208" t="str">
        <f t="shared" si="217"/>
        <v>Y</v>
      </c>
      <c r="AT208" t="str">
        <f t="shared" si="206"/>
        <v>Y</v>
      </c>
      <c r="AU208" t="str">
        <f t="shared" si="203"/>
        <v>N</v>
      </c>
      <c r="AV208" t="str">
        <f t="shared" si="203"/>
        <v>N</v>
      </c>
      <c r="AW208" t="str">
        <f>""</f>
        <v/>
      </c>
      <c r="AX208" t="str">
        <f t="shared" si="199"/>
        <v>No</v>
      </c>
      <c r="AY208" t="str">
        <f>""</f>
        <v/>
      </c>
      <c r="AZ208" t="s">
        <v>12</v>
      </c>
      <c r="BA208" t="s">
        <v>110</v>
      </c>
      <c r="BB208" t="s">
        <v>110</v>
      </c>
    </row>
    <row r="209" spans="1:54">
      <c r="A209" s="7" t="str">
        <f t="shared" si="200"/>
        <v>PHKG2VT7378</v>
      </c>
      <c r="B209" s="8">
        <f t="shared" si="201"/>
        <v>43680.666666666664</v>
      </c>
      <c r="C209" t="str">
        <f t="shared" si="213"/>
        <v>PHKG</v>
      </c>
      <c r="D209" t="str">
        <f t="shared" ref="D209:D216" si="219">"2VT"</f>
        <v>2VT</v>
      </c>
      <c r="E209" t="str">
        <f t="shared" ref="E209:E216" si="220">"KWONG FEI"</f>
        <v>KWONG FEI</v>
      </c>
      <c r="F209" t="str">
        <f>""</f>
        <v/>
      </c>
      <c r="G209" t="str">
        <f t="shared" si="196"/>
        <v>OOCL</v>
      </c>
      <c r="H209" t="str">
        <f>""</f>
        <v/>
      </c>
      <c r="I209" t="str">
        <f>"287"</f>
        <v>287</v>
      </c>
      <c r="J209" t="str">
        <f t="shared" si="218"/>
        <v>S</v>
      </c>
      <c r="K209" t="str">
        <f>"2"</f>
        <v>2</v>
      </c>
      <c r="L209" t="str">
        <f>"HKG02"</f>
        <v>HKG02</v>
      </c>
      <c r="M209" t="str">
        <f>"HIT - Hongkong International Terminals"</f>
        <v>HIT - Hongkong International Terminals</v>
      </c>
      <c r="N209" t="str">
        <f t="shared" si="197"/>
        <v>HKG</v>
      </c>
      <c r="O209" t="str">
        <f t="shared" si="190"/>
        <v>1</v>
      </c>
      <c r="P209" t="str">
        <f>""</f>
        <v/>
      </c>
      <c r="Q209" t="str">
        <f>"7378"</f>
        <v>7378</v>
      </c>
      <c r="R209" t="str">
        <f>"7378"</f>
        <v>7378</v>
      </c>
      <c r="S209" t="str">
        <f>""</f>
        <v/>
      </c>
      <c r="T209" t="str">
        <f>"03 Aug 2019 15:00"</f>
        <v>03 Aug 2019 15:00</v>
      </c>
      <c r="U209" t="str">
        <f>"03 Aug 2019 16:00"</f>
        <v>03 Aug 2019 16:00</v>
      </c>
      <c r="V209" t="str">
        <f t="shared" si="214"/>
        <v>1h</v>
      </c>
      <c r="W209" t="str">
        <f>"03 Aug 2019 15:00"</f>
        <v>03 Aug 2019 15:00</v>
      </c>
      <c r="X209" t="str">
        <f>""</f>
        <v/>
      </c>
      <c r="Y209" t="str">
        <f>"03 Aug 2019 16:00"</f>
        <v>03 Aug 2019 16:00</v>
      </c>
      <c r="Z209" t="str">
        <f>""</f>
        <v/>
      </c>
      <c r="AA209" t="str">
        <f>""</f>
        <v/>
      </c>
      <c r="AB209" t="str">
        <f t="shared" si="198"/>
        <v>NN</v>
      </c>
      <c r="AC209" t="str">
        <f t="shared" si="208"/>
        <v>LL</v>
      </c>
      <c r="AD209" t="str">
        <f t="shared" si="209"/>
        <v>0</v>
      </c>
      <c r="AE209" t="str">
        <f t="shared" si="209"/>
        <v>0</v>
      </c>
      <c r="AF209" t="str">
        <f t="shared" ref="AF209:AO209" si="221">"03 Aug 2019 15:00"</f>
        <v>03 Aug 2019 15:00</v>
      </c>
      <c r="AG209" t="str">
        <f t="shared" si="221"/>
        <v>03 Aug 2019 15:00</v>
      </c>
      <c r="AH209" t="str">
        <f t="shared" si="221"/>
        <v>03 Aug 2019 15:00</v>
      </c>
      <c r="AI209" t="str">
        <f t="shared" si="221"/>
        <v>03 Aug 2019 15:00</v>
      </c>
      <c r="AJ209" t="str">
        <f t="shared" si="221"/>
        <v>03 Aug 2019 15:00</v>
      </c>
      <c r="AK209" t="str">
        <f t="shared" si="221"/>
        <v>03 Aug 2019 15:00</v>
      </c>
      <c r="AL209" t="str">
        <f t="shared" si="221"/>
        <v>03 Aug 2019 15:00</v>
      </c>
      <c r="AM209" t="str">
        <f t="shared" si="221"/>
        <v>03 Aug 2019 15:00</v>
      </c>
      <c r="AN209" t="str">
        <f t="shared" si="221"/>
        <v>03 Aug 2019 15:00</v>
      </c>
      <c r="AO209" t="str">
        <f t="shared" si="221"/>
        <v>03 Aug 2019 15:00</v>
      </c>
      <c r="AP209" t="str">
        <f>"03 Aug 2019 16:00"</f>
        <v>03 Aug 2019 16:00</v>
      </c>
      <c r="AQ209" t="str">
        <f>"03 Aug 2019 15:00"</f>
        <v>03 Aug 2019 15:00</v>
      </c>
      <c r="AR209" t="str">
        <f t="shared" si="217"/>
        <v>Y</v>
      </c>
      <c r="AS209" t="str">
        <f t="shared" si="217"/>
        <v>Y</v>
      </c>
      <c r="AT209" t="str">
        <f t="shared" si="206"/>
        <v>Y</v>
      </c>
      <c r="AU209" t="str">
        <f t="shared" si="203"/>
        <v>N</v>
      </c>
      <c r="AV209" t="str">
        <f t="shared" si="203"/>
        <v>N</v>
      </c>
      <c r="AW209" t="str">
        <f>""</f>
        <v/>
      </c>
      <c r="AX209" t="str">
        <f t="shared" si="199"/>
        <v>No</v>
      </c>
      <c r="AY209" t="str">
        <f>""</f>
        <v/>
      </c>
      <c r="AZ209" t="s">
        <v>12</v>
      </c>
      <c r="BA209" t="s">
        <v>110</v>
      </c>
      <c r="BB209" t="s">
        <v>110</v>
      </c>
    </row>
    <row r="210" spans="1:54">
      <c r="A210" s="7" t="str">
        <f t="shared" si="200"/>
        <v>PHKG2VT7378</v>
      </c>
      <c r="B210" s="8" t="e">
        <f t="shared" si="201"/>
        <v>#VALUE!</v>
      </c>
      <c r="C210" t="str">
        <f t="shared" si="213"/>
        <v>PHKG</v>
      </c>
      <c r="D210" t="str">
        <f t="shared" si="219"/>
        <v>2VT</v>
      </c>
      <c r="E210" t="str">
        <f t="shared" si="220"/>
        <v>KWONG FEI</v>
      </c>
      <c r="F210" t="str">
        <f>""</f>
        <v/>
      </c>
      <c r="G210" t="str">
        <f t="shared" si="196"/>
        <v>OOCL</v>
      </c>
      <c r="H210" t="str">
        <f>""</f>
        <v/>
      </c>
      <c r="I210" t="str">
        <f>"287"</f>
        <v>287</v>
      </c>
      <c r="J210" t="str">
        <f t="shared" si="218"/>
        <v>S</v>
      </c>
      <c r="K210" t="str">
        <f>"3"</f>
        <v>3</v>
      </c>
      <c r="L210" t="str">
        <f>"HKG04"</f>
        <v>HKG04</v>
      </c>
      <c r="M210" t="str">
        <f>"Cosco - HIT Terminals (HK) Ltd"</f>
        <v>Cosco - HIT Terminals (HK) Ltd</v>
      </c>
      <c r="N210" t="str">
        <f t="shared" si="197"/>
        <v>HKG</v>
      </c>
      <c r="O210" t="str">
        <f>"2"</f>
        <v>2</v>
      </c>
      <c r="P210" t="str">
        <f>""</f>
        <v/>
      </c>
      <c r="Q210" t="str">
        <f>"7378"</f>
        <v>7378</v>
      </c>
      <c r="R210" t="str">
        <f>"7378"</f>
        <v>7378</v>
      </c>
      <c r="S210" t="str">
        <f>""</f>
        <v/>
      </c>
      <c r="T210" t="str">
        <f>"03 Aug 2019 21:00"</f>
        <v>03 Aug 2019 21:00</v>
      </c>
      <c r="U210" t="str">
        <f>"03 Aug 2019 22:00"</f>
        <v>03 Aug 2019 22:00</v>
      </c>
      <c r="V210" t="str">
        <f t="shared" si="214"/>
        <v>1h</v>
      </c>
      <c r="W210" t="str">
        <f>"03 Aug 2019 21:00"</f>
        <v>03 Aug 2019 21:00</v>
      </c>
      <c r="X210" t="str">
        <f>""</f>
        <v/>
      </c>
      <c r="Y210" t="str">
        <f>"03 Aug 2019 22:00"</f>
        <v>03 Aug 2019 22:00</v>
      </c>
      <c r="Z210" t="str">
        <f>""</f>
        <v/>
      </c>
      <c r="AA210" t="str">
        <f>""</f>
        <v/>
      </c>
      <c r="AB210" t="str">
        <f t="shared" si="198"/>
        <v>NN</v>
      </c>
      <c r="AC210" t="str">
        <f t="shared" si="208"/>
        <v>LL</v>
      </c>
      <c r="AD210" t="str">
        <f t="shared" si="209"/>
        <v>0</v>
      </c>
      <c r="AE210" t="str">
        <f t="shared" si="209"/>
        <v>0</v>
      </c>
      <c r="AF210" t="str">
        <f>"03 Aug 2019 21:00"</f>
        <v>03 Aug 2019 21:00</v>
      </c>
      <c r="AG210" t="str">
        <f>"03 Aug 2019 21:00"</f>
        <v>03 Aug 2019 21:00</v>
      </c>
      <c r="AH210" t="str">
        <f>"03 Aug 2019 21:00"</f>
        <v>03 Aug 2019 21:00</v>
      </c>
      <c r="AI210" t="str">
        <f>"03 Aug 2019 21:00"</f>
        <v>03 Aug 2019 21:00</v>
      </c>
      <c r="AJ210" t="str">
        <f>"03 Aug 2019 21:00"</f>
        <v>03 Aug 2019 21:00</v>
      </c>
      <c r="AK210" t="str">
        <f>"03 Aug 2019 22:00"</f>
        <v>03 Aug 2019 22:00</v>
      </c>
      <c r="AL210" t="str">
        <f>"03 Aug 2019 22:00"</f>
        <v>03 Aug 2019 22:00</v>
      </c>
      <c r="AM210" t="str">
        <f>"03 Aug 2019 22:00"</f>
        <v>03 Aug 2019 22:00</v>
      </c>
      <c r="AN210" t="str">
        <f>"03 Aug 2019 22:00"</f>
        <v>03 Aug 2019 22:00</v>
      </c>
      <c r="AO210" t="str">
        <f>"03 Aug 2019 22:00"</f>
        <v>03 Aug 2019 22:00</v>
      </c>
      <c r="AP210" t="str">
        <f>""</f>
        <v/>
      </c>
      <c r="AQ210" t="str">
        <f>"03 Aug 2019 21:00"</f>
        <v>03 Aug 2019 21:00</v>
      </c>
      <c r="AR210" t="str">
        <f t="shared" si="217"/>
        <v>Y</v>
      </c>
      <c r="AS210" t="str">
        <f t="shared" si="217"/>
        <v>Y</v>
      </c>
      <c r="AT210" t="str">
        <f t="shared" si="206"/>
        <v>Y</v>
      </c>
      <c r="AU210" t="str">
        <f t="shared" si="203"/>
        <v>N</v>
      </c>
      <c r="AV210" t="str">
        <f t="shared" si="203"/>
        <v>N</v>
      </c>
      <c r="AW210" t="str">
        <f>""</f>
        <v/>
      </c>
      <c r="AX210" t="str">
        <f t="shared" si="199"/>
        <v>No</v>
      </c>
      <c r="AY210" t="str">
        <f>""</f>
        <v/>
      </c>
      <c r="AZ210" t="s">
        <v>12</v>
      </c>
      <c r="BA210" t="s">
        <v>110</v>
      </c>
      <c r="BB210" t="s">
        <v>110</v>
      </c>
    </row>
    <row r="211" spans="1:54">
      <c r="A211" s="7" t="str">
        <f t="shared" si="200"/>
        <v>PHKG2VT7380</v>
      </c>
      <c r="B211" s="8">
        <f t="shared" si="201"/>
        <v>43681.666666666664</v>
      </c>
      <c r="C211" t="str">
        <f t="shared" si="213"/>
        <v>PHKG</v>
      </c>
      <c r="D211" t="str">
        <f t="shared" si="219"/>
        <v>2VT</v>
      </c>
      <c r="E211" t="str">
        <f t="shared" si="220"/>
        <v>KWONG FEI</v>
      </c>
      <c r="F211" t="str">
        <f>""</f>
        <v/>
      </c>
      <c r="G211" t="str">
        <f t="shared" si="196"/>
        <v>OOCL</v>
      </c>
      <c r="H211" t="str">
        <f>""</f>
        <v/>
      </c>
      <c r="I211" t="str">
        <f>"288"</f>
        <v>288</v>
      </c>
      <c r="J211" t="str">
        <f t="shared" si="218"/>
        <v>S</v>
      </c>
      <c r="K211" t="str">
        <f>"2"</f>
        <v>2</v>
      </c>
      <c r="L211" t="str">
        <f>"HKG02"</f>
        <v>HKG02</v>
      </c>
      <c r="M211" t="str">
        <f>"HIT - Hongkong International Terminals"</f>
        <v>HIT - Hongkong International Terminals</v>
      </c>
      <c r="N211" t="str">
        <f t="shared" si="197"/>
        <v>HKG</v>
      </c>
      <c r="O211" t="str">
        <f>"1"</f>
        <v>1</v>
      </c>
      <c r="P211" t="str">
        <f>""</f>
        <v/>
      </c>
      <c r="Q211" t="str">
        <f>"7380"</f>
        <v>7380</v>
      </c>
      <c r="R211" t="str">
        <f>"7380"</f>
        <v>7380</v>
      </c>
      <c r="S211" t="str">
        <f>""</f>
        <v/>
      </c>
      <c r="T211" t="str">
        <f>"04 Aug 2019 15:00"</f>
        <v>04 Aug 2019 15:00</v>
      </c>
      <c r="U211" t="str">
        <f>"04 Aug 2019 16:00"</f>
        <v>04 Aug 2019 16:00</v>
      </c>
      <c r="V211" t="str">
        <f t="shared" si="214"/>
        <v>1h</v>
      </c>
      <c r="W211" t="str">
        <f>"04 Aug 2019 15:00"</f>
        <v>04 Aug 2019 15:00</v>
      </c>
      <c r="X211" t="str">
        <f>""</f>
        <v/>
      </c>
      <c r="Y211" t="str">
        <f>"04 Aug 2019 16:00"</f>
        <v>04 Aug 2019 16:00</v>
      </c>
      <c r="Z211" t="str">
        <f>""</f>
        <v/>
      </c>
      <c r="AA211" t="str">
        <f>""</f>
        <v/>
      </c>
      <c r="AB211" t="str">
        <f t="shared" si="198"/>
        <v>NN</v>
      </c>
      <c r="AC211" t="str">
        <f t="shared" si="208"/>
        <v>LL</v>
      </c>
      <c r="AD211" t="str">
        <f t="shared" si="209"/>
        <v>0</v>
      </c>
      <c r="AE211" t="str">
        <f t="shared" si="209"/>
        <v>0</v>
      </c>
      <c r="AF211" t="str">
        <f t="shared" ref="AF211:AO211" si="222">"04 Aug 2019 15:00"</f>
        <v>04 Aug 2019 15:00</v>
      </c>
      <c r="AG211" t="str">
        <f t="shared" si="222"/>
        <v>04 Aug 2019 15:00</v>
      </c>
      <c r="AH211" t="str">
        <f t="shared" si="222"/>
        <v>04 Aug 2019 15:00</v>
      </c>
      <c r="AI211" t="str">
        <f t="shared" si="222"/>
        <v>04 Aug 2019 15:00</v>
      </c>
      <c r="AJ211" t="str">
        <f t="shared" si="222"/>
        <v>04 Aug 2019 15:00</v>
      </c>
      <c r="AK211" t="str">
        <f t="shared" si="222"/>
        <v>04 Aug 2019 15:00</v>
      </c>
      <c r="AL211" t="str">
        <f t="shared" si="222"/>
        <v>04 Aug 2019 15:00</v>
      </c>
      <c r="AM211" t="str">
        <f t="shared" si="222"/>
        <v>04 Aug 2019 15:00</v>
      </c>
      <c r="AN211" t="str">
        <f t="shared" si="222"/>
        <v>04 Aug 2019 15:00</v>
      </c>
      <c r="AO211" t="str">
        <f t="shared" si="222"/>
        <v>04 Aug 2019 15:00</v>
      </c>
      <c r="AP211" t="str">
        <f>"04 Aug 2019 16:00"</f>
        <v>04 Aug 2019 16:00</v>
      </c>
      <c r="AQ211" t="str">
        <f>"04 Aug 2019 15:00"</f>
        <v>04 Aug 2019 15:00</v>
      </c>
      <c r="AR211" t="str">
        <f t="shared" si="217"/>
        <v>Y</v>
      </c>
      <c r="AS211" t="str">
        <f t="shared" si="217"/>
        <v>Y</v>
      </c>
      <c r="AT211" t="str">
        <f t="shared" si="206"/>
        <v>Y</v>
      </c>
      <c r="AU211" t="str">
        <f t="shared" si="203"/>
        <v>N</v>
      </c>
      <c r="AV211" t="str">
        <f t="shared" si="203"/>
        <v>N</v>
      </c>
      <c r="AW211" t="str">
        <f>""</f>
        <v/>
      </c>
      <c r="AX211" t="str">
        <f t="shared" si="199"/>
        <v>No</v>
      </c>
      <c r="AY211" t="str">
        <f>""</f>
        <v/>
      </c>
      <c r="AZ211" t="s">
        <v>12</v>
      </c>
      <c r="BA211" t="s">
        <v>110</v>
      </c>
      <c r="BB211" t="s">
        <v>110</v>
      </c>
    </row>
    <row r="212" spans="1:54">
      <c r="A212" s="7" t="str">
        <f t="shared" si="200"/>
        <v>PHKG2VT7380</v>
      </c>
      <c r="B212" s="8" t="e">
        <f t="shared" si="201"/>
        <v>#VALUE!</v>
      </c>
      <c r="C212" t="str">
        <f t="shared" si="213"/>
        <v>PHKG</v>
      </c>
      <c r="D212" t="str">
        <f t="shared" si="219"/>
        <v>2VT</v>
      </c>
      <c r="E212" t="str">
        <f t="shared" si="220"/>
        <v>KWONG FEI</v>
      </c>
      <c r="F212" t="str">
        <f>""</f>
        <v/>
      </c>
      <c r="G212" t="str">
        <f t="shared" si="196"/>
        <v>OOCL</v>
      </c>
      <c r="H212" t="str">
        <f>""</f>
        <v/>
      </c>
      <c r="I212" t="str">
        <f>"288"</f>
        <v>288</v>
      </c>
      <c r="J212" t="str">
        <f t="shared" si="218"/>
        <v>S</v>
      </c>
      <c r="K212" t="str">
        <f>"3"</f>
        <v>3</v>
      </c>
      <c r="L212" t="str">
        <f>"HKG04"</f>
        <v>HKG04</v>
      </c>
      <c r="M212" t="str">
        <f>"Cosco - HIT Terminals (HK) Ltd"</f>
        <v>Cosco - HIT Terminals (HK) Ltd</v>
      </c>
      <c r="N212" t="str">
        <f t="shared" si="197"/>
        <v>HKG</v>
      </c>
      <c r="O212" t="str">
        <f>"2"</f>
        <v>2</v>
      </c>
      <c r="P212" t="str">
        <f>""</f>
        <v/>
      </c>
      <c r="Q212" t="str">
        <f>"7380"</f>
        <v>7380</v>
      </c>
      <c r="R212" t="str">
        <f>"7380"</f>
        <v>7380</v>
      </c>
      <c r="S212" t="str">
        <f>""</f>
        <v/>
      </c>
      <c r="T212" t="str">
        <f>"04 Aug 2019 21:00"</f>
        <v>04 Aug 2019 21:00</v>
      </c>
      <c r="U212" t="str">
        <f>"04 Aug 2019 22:00"</f>
        <v>04 Aug 2019 22:00</v>
      </c>
      <c r="V212" t="str">
        <f t="shared" si="214"/>
        <v>1h</v>
      </c>
      <c r="W212" t="str">
        <f>"04 Aug 2019 21:00"</f>
        <v>04 Aug 2019 21:00</v>
      </c>
      <c r="X212" t="str">
        <f>""</f>
        <v/>
      </c>
      <c r="Y212" t="str">
        <f>"04 Aug 2019 22:00"</f>
        <v>04 Aug 2019 22:00</v>
      </c>
      <c r="Z212" t="str">
        <f>""</f>
        <v/>
      </c>
      <c r="AA212" t="str">
        <f>""</f>
        <v/>
      </c>
      <c r="AB212" t="str">
        <f t="shared" si="198"/>
        <v>NN</v>
      </c>
      <c r="AC212" t="str">
        <f t="shared" si="208"/>
        <v>LL</v>
      </c>
      <c r="AD212" t="str">
        <f t="shared" si="209"/>
        <v>0</v>
      </c>
      <c r="AE212" t="str">
        <f t="shared" si="209"/>
        <v>0</v>
      </c>
      <c r="AF212" t="str">
        <f>"04 Aug 2019 21:00"</f>
        <v>04 Aug 2019 21:00</v>
      </c>
      <c r="AG212" t="str">
        <f>"04 Aug 2019 21:00"</f>
        <v>04 Aug 2019 21:00</v>
      </c>
      <c r="AH212" t="str">
        <f>"04 Aug 2019 21:00"</f>
        <v>04 Aug 2019 21:00</v>
      </c>
      <c r="AI212" t="str">
        <f>"04 Aug 2019 21:00"</f>
        <v>04 Aug 2019 21:00</v>
      </c>
      <c r="AJ212" t="str">
        <f>"04 Aug 2019 21:00"</f>
        <v>04 Aug 2019 21:00</v>
      </c>
      <c r="AK212" t="str">
        <f>"04 Aug 2019 22:00"</f>
        <v>04 Aug 2019 22:00</v>
      </c>
      <c r="AL212" t="str">
        <f>"04 Aug 2019 22:00"</f>
        <v>04 Aug 2019 22:00</v>
      </c>
      <c r="AM212" t="str">
        <f>"04 Aug 2019 22:00"</f>
        <v>04 Aug 2019 22:00</v>
      </c>
      <c r="AN212" t="str">
        <f>"04 Aug 2019 22:00"</f>
        <v>04 Aug 2019 22:00</v>
      </c>
      <c r="AO212" t="str">
        <f>"04 Aug 2019 22:00"</f>
        <v>04 Aug 2019 22:00</v>
      </c>
      <c r="AP212" t="str">
        <f>""</f>
        <v/>
      </c>
      <c r="AQ212" t="str">
        <f>"04 Aug 2019 21:00"</f>
        <v>04 Aug 2019 21:00</v>
      </c>
      <c r="AR212" t="str">
        <f t="shared" si="217"/>
        <v>Y</v>
      </c>
      <c r="AS212" t="str">
        <f t="shared" si="217"/>
        <v>Y</v>
      </c>
      <c r="AT212" t="str">
        <f t="shared" si="206"/>
        <v>Y</v>
      </c>
      <c r="AU212" t="str">
        <f t="shared" si="203"/>
        <v>N</v>
      </c>
      <c r="AV212" t="str">
        <f t="shared" si="203"/>
        <v>N</v>
      </c>
      <c r="AW212" t="str">
        <f>""</f>
        <v/>
      </c>
      <c r="AX212" t="str">
        <f t="shared" si="199"/>
        <v>No</v>
      </c>
      <c r="AY212" t="str">
        <f>""</f>
        <v/>
      </c>
      <c r="AZ212" t="s">
        <v>12</v>
      </c>
      <c r="BA212" t="s">
        <v>110</v>
      </c>
      <c r="BB212" t="s">
        <v>110</v>
      </c>
    </row>
    <row r="213" spans="1:54">
      <c r="A213" s="7" t="str">
        <f t="shared" si="200"/>
        <v>PHKG2VT7382</v>
      </c>
      <c r="B213" s="8">
        <f t="shared" si="201"/>
        <v>43682.666666666664</v>
      </c>
      <c r="C213" t="str">
        <f t="shared" si="213"/>
        <v>PHKG</v>
      </c>
      <c r="D213" t="str">
        <f t="shared" si="219"/>
        <v>2VT</v>
      </c>
      <c r="E213" t="str">
        <f t="shared" si="220"/>
        <v>KWONG FEI</v>
      </c>
      <c r="F213" t="str">
        <f>""</f>
        <v/>
      </c>
      <c r="G213" t="str">
        <f t="shared" si="196"/>
        <v>OOCL</v>
      </c>
      <c r="H213" t="str">
        <f>""</f>
        <v/>
      </c>
      <c r="I213" t="str">
        <f>"289"</f>
        <v>289</v>
      </c>
      <c r="J213" t="str">
        <f t="shared" si="218"/>
        <v>S</v>
      </c>
      <c r="K213" t="str">
        <f>"2"</f>
        <v>2</v>
      </c>
      <c r="L213" t="str">
        <f>"HKG02"</f>
        <v>HKG02</v>
      </c>
      <c r="M213" t="str">
        <f>"HIT - Hongkong International Terminals"</f>
        <v>HIT - Hongkong International Terminals</v>
      </c>
      <c r="N213" t="str">
        <f t="shared" si="197"/>
        <v>HKG</v>
      </c>
      <c r="O213" t="str">
        <f>"1"</f>
        <v>1</v>
      </c>
      <c r="P213" t="str">
        <f>""</f>
        <v/>
      </c>
      <c r="Q213" t="str">
        <f>"7382"</f>
        <v>7382</v>
      </c>
      <c r="R213" t="str">
        <f>"7382"</f>
        <v>7382</v>
      </c>
      <c r="S213" t="str">
        <f>""</f>
        <v/>
      </c>
      <c r="T213" t="str">
        <f>"05 Aug 2019 15:00"</f>
        <v>05 Aug 2019 15:00</v>
      </c>
      <c r="U213" t="str">
        <f>"05 Aug 2019 16:00"</f>
        <v>05 Aug 2019 16:00</v>
      </c>
      <c r="V213" t="str">
        <f t="shared" si="214"/>
        <v>1h</v>
      </c>
      <c r="W213" t="str">
        <f>"05 Aug 2019 15:00"</f>
        <v>05 Aug 2019 15:00</v>
      </c>
      <c r="X213" t="str">
        <f>""</f>
        <v/>
      </c>
      <c r="Y213" t="str">
        <f>"05 Aug 2019 16:00"</f>
        <v>05 Aug 2019 16:00</v>
      </c>
      <c r="Z213" t="str">
        <f>""</f>
        <v/>
      </c>
      <c r="AA213" t="str">
        <f>""</f>
        <v/>
      </c>
      <c r="AB213" t="str">
        <f t="shared" si="198"/>
        <v>NN</v>
      </c>
      <c r="AC213" t="str">
        <f t="shared" si="208"/>
        <v>LL</v>
      </c>
      <c r="AD213" t="str">
        <f t="shared" si="209"/>
        <v>0</v>
      </c>
      <c r="AE213" t="str">
        <f t="shared" si="209"/>
        <v>0</v>
      </c>
      <c r="AF213" t="str">
        <f t="shared" ref="AF213:AO213" si="223">"05 Aug 2019 15:00"</f>
        <v>05 Aug 2019 15:00</v>
      </c>
      <c r="AG213" t="str">
        <f t="shared" si="223"/>
        <v>05 Aug 2019 15:00</v>
      </c>
      <c r="AH213" t="str">
        <f t="shared" si="223"/>
        <v>05 Aug 2019 15:00</v>
      </c>
      <c r="AI213" t="str">
        <f t="shared" si="223"/>
        <v>05 Aug 2019 15:00</v>
      </c>
      <c r="AJ213" t="str">
        <f t="shared" si="223"/>
        <v>05 Aug 2019 15:00</v>
      </c>
      <c r="AK213" t="str">
        <f t="shared" si="223"/>
        <v>05 Aug 2019 15:00</v>
      </c>
      <c r="AL213" t="str">
        <f t="shared" si="223"/>
        <v>05 Aug 2019 15:00</v>
      </c>
      <c r="AM213" t="str">
        <f t="shared" si="223"/>
        <v>05 Aug 2019 15:00</v>
      </c>
      <c r="AN213" t="str">
        <f t="shared" si="223"/>
        <v>05 Aug 2019 15:00</v>
      </c>
      <c r="AO213" t="str">
        <f t="shared" si="223"/>
        <v>05 Aug 2019 15:00</v>
      </c>
      <c r="AP213" t="str">
        <f>"05 Aug 2019 16:00"</f>
        <v>05 Aug 2019 16:00</v>
      </c>
      <c r="AQ213" t="str">
        <f>"05 Aug 2019 15:00"</f>
        <v>05 Aug 2019 15:00</v>
      </c>
      <c r="AR213" t="str">
        <f t="shared" si="217"/>
        <v>Y</v>
      </c>
      <c r="AS213" t="str">
        <f t="shared" si="217"/>
        <v>Y</v>
      </c>
      <c r="AT213" t="str">
        <f t="shared" si="206"/>
        <v>Y</v>
      </c>
      <c r="AU213" t="str">
        <f t="shared" si="203"/>
        <v>N</v>
      </c>
      <c r="AV213" t="str">
        <f t="shared" si="203"/>
        <v>N</v>
      </c>
      <c r="AW213" t="str">
        <f>""</f>
        <v/>
      </c>
      <c r="AX213" t="str">
        <f t="shared" si="199"/>
        <v>No</v>
      </c>
      <c r="AY213" t="str">
        <f>""</f>
        <v/>
      </c>
      <c r="AZ213" t="s">
        <v>12</v>
      </c>
      <c r="BA213" t="s">
        <v>110</v>
      </c>
      <c r="BB213" t="s">
        <v>110</v>
      </c>
    </row>
    <row r="214" spans="1:54">
      <c r="A214" s="7" t="str">
        <f t="shared" si="200"/>
        <v>PHKG2VT7382</v>
      </c>
      <c r="B214" s="8" t="e">
        <f t="shared" si="201"/>
        <v>#VALUE!</v>
      </c>
      <c r="C214" t="str">
        <f t="shared" si="213"/>
        <v>PHKG</v>
      </c>
      <c r="D214" t="str">
        <f t="shared" si="219"/>
        <v>2VT</v>
      </c>
      <c r="E214" t="str">
        <f t="shared" si="220"/>
        <v>KWONG FEI</v>
      </c>
      <c r="F214" t="str">
        <f>""</f>
        <v/>
      </c>
      <c r="G214" t="str">
        <f t="shared" si="196"/>
        <v>OOCL</v>
      </c>
      <c r="H214" t="str">
        <f>""</f>
        <v/>
      </c>
      <c r="I214" t="str">
        <f>"289"</f>
        <v>289</v>
      </c>
      <c r="J214" t="str">
        <f t="shared" si="218"/>
        <v>S</v>
      </c>
      <c r="K214" t="str">
        <f>"3"</f>
        <v>3</v>
      </c>
      <c r="L214" t="str">
        <f>"HKG04"</f>
        <v>HKG04</v>
      </c>
      <c r="M214" t="str">
        <f>"Cosco - HIT Terminals (HK) Ltd"</f>
        <v>Cosco - HIT Terminals (HK) Ltd</v>
      </c>
      <c r="N214" t="str">
        <f t="shared" si="197"/>
        <v>HKG</v>
      </c>
      <c r="O214" t="str">
        <f>"2"</f>
        <v>2</v>
      </c>
      <c r="P214" t="str">
        <f>""</f>
        <v/>
      </c>
      <c r="Q214" t="str">
        <f>"7382"</f>
        <v>7382</v>
      </c>
      <c r="R214" t="str">
        <f>"7382"</f>
        <v>7382</v>
      </c>
      <c r="S214" t="str">
        <f>""</f>
        <v/>
      </c>
      <c r="T214" t="str">
        <f>"05 Aug 2019 21:00"</f>
        <v>05 Aug 2019 21:00</v>
      </c>
      <c r="U214" t="str">
        <f>"05 Aug 2019 22:00"</f>
        <v>05 Aug 2019 22:00</v>
      </c>
      <c r="V214" t="str">
        <f t="shared" si="214"/>
        <v>1h</v>
      </c>
      <c r="W214" t="str">
        <f>"05 Aug 2019 21:00"</f>
        <v>05 Aug 2019 21:00</v>
      </c>
      <c r="X214" t="str">
        <f>""</f>
        <v/>
      </c>
      <c r="Y214" t="str">
        <f>"05 Aug 2019 22:00"</f>
        <v>05 Aug 2019 22:00</v>
      </c>
      <c r="Z214" t="str">
        <f>""</f>
        <v/>
      </c>
      <c r="AA214" t="str">
        <f>""</f>
        <v/>
      </c>
      <c r="AB214" t="str">
        <f t="shared" si="198"/>
        <v>NN</v>
      </c>
      <c r="AC214" t="str">
        <f t="shared" si="208"/>
        <v>LL</v>
      </c>
      <c r="AD214" t="str">
        <f t="shared" si="209"/>
        <v>0</v>
      </c>
      <c r="AE214" t="str">
        <f t="shared" si="209"/>
        <v>0</v>
      </c>
      <c r="AF214" t="str">
        <f>"05 Aug 2019 21:00"</f>
        <v>05 Aug 2019 21:00</v>
      </c>
      <c r="AG214" t="str">
        <f>"05 Aug 2019 21:00"</f>
        <v>05 Aug 2019 21:00</v>
      </c>
      <c r="AH214" t="str">
        <f>"05 Aug 2019 21:00"</f>
        <v>05 Aug 2019 21:00</v>
      </c>
      <c r="AI214" t="str">
        <f>"05 Aug 2019 21:00"</f>
        <v>05 Aug 2019 21:00</v>
      </c>
      <c r="AJ214" t="str">
        <f>"05 Aug 2019 21:00"</f>
        <v>05 Aug 2019 21:00</v>
      </c>
      <c r="AK214" t="str">
        <f>"05 Aug 2019 22:00"</f>
        <v>05 Aug 2019 22:00</v>
      </c>
      <c r="AL214" t="str">
        <f>"05 Aug 2019 22:00"</f>
        <v>05 Aug 2019 22:00</v>
      </c>
      <c r="AM214" t="str">
        <f>"05 Aug 2019 22:00"</f>
        <v>05 Aug 2019 22:00</v>
      </c>
      <c r="AN214" t="str">
        <f>"05 Aug 2019 22:00"</f>
        <v>05 Aug 2019 22:00</v>
      </c>
      <c r="AO214" t="str">
        <f>"05 Aug 2019 22:00"</f>
        <v>05 Aug 2019 22:00</v>
      </c>
      <c r="AP214" t="str">
        <f>""</f>
        <v/>
      </c>
      <c r="AQ214" t="str">
        <f>"05 Aug 2019 21:00"</f>
        <v>05 Aug 2019 21:00</v>
      </c>
      <c r="AR214" t="str">
        <f t="shared" si="217"/>
        <v>Y</v>
      </c>
      <c r="AS214" t="str">
        <f t="shared" si="217"/>
        <v>Y</v>
      </c>
      <c r="AT214" t="str">
        <f t="shared" si="206"/>
        <v>Y</v>
      </c>
      <c r="AU214" t="str">
        <f t="shared" si="203"/>
        <v>N</v>
      </c>
      <c r="AV214" t="str">
        <f t="shared" si="203"/>
        <v>N</v>
      </c>
      <c r="AW214" t="str">
        <f>""</f>
        <v/>
      </c>
      <c r="AX214" t="str">
        <f t="shared" si="199"/>
        <v>No</v>
      </c>
      <c r="AY214" t="str">
        <f>""</f>
        <v/>
      </c>
      <c r="AZ214" t="s">
        <v>12</v>
      </c>
      <c r="BA214" t="s">
        <v>110</v>
      </c>
      <c r="BB214" t="s">
        <v>110</v>
      </c>
    </row>
    <row r="215" spans="1:54">
      <c r="A215" s="7" t="str">
        <f t="shared" si="200"/>
        <v>PHKG2VT7384</v>
      </c>
      <c r="B215" s="8">
        <f t="shared" si="201"/>
        <v>43683.666666666664</v>
      </c>
      <c r="C215" t="str">
        <f t="shared" si="213"/>
        <v>PHKG</v>
      </c>
      <c r="D215" t="str">
        <f t="shared" si="219"/>
        <v>2VT</v>
      </c>
      <c r="E215" t="str">
        <f t="shared" si="220"/>
        <v>KWONG FEI</v>
      </c>
      <c r="F215" t="str">
        <f>""</f>
        <v/>
      </c>
      <c r="G215" t="str">
        <f t="shared" si="196"/>
        <v>OOCL</v>
      </c>
      <c r="H215" t="str">
        <f>""</f>
        <v/>
      </c>
      <c r="I215" t="str">
        <f>"290"</f>
        <v>290</v>
      </c>
      <c r="J215" t="str">
        <f t="shared" si="218"/>
        <v>S</v>
      </c>
      <c r="K215" t="str">
        <f>"2"</f>
        <v>2</v>
      </c>
      <c r="L215" t="str">
        <f>"HKG02"</f>
        <v>HKG02</v>
      </c>
      <c r="M215" t="str">
        <f>"HIT - Hongkong International Terminals"</f>
        <v>HIT - Hongkong International Terminals</v>
      </c>
      <c r="N215" t="str">
        <f t="shared" si="197"/>
        <v>HKG</v>
      </c>
      <c r="O215" t="str">
        <f>"1"</f>
        <v>1</v>
      </c>
      <c r="P215" t="str">
        <f>""</f>
        <v/>
      </c>
      <c r="Q215" t="str">
        <f>"7384"</f>
        <v>7384</v>
      </c>
      <c r="R215" t="str">
        <f>"7384"</f>
        <v>7384</v>
      </c>
      <c r="S215" t="str">
        <f>""</f>
        <v/>
      </c>
      <c r="T215" t="str">
        <f>"06 Aug 2019 15:00"</f>
        <v>06 Aug 2019 15:00</v>
      </c>
      <c r="U215" t="str">
        <f>"06 Aug 2019 16:00"</f>
        <v>06 Aug 2019 16:00</v>
      </c>
      <c r="V215" t="str">
        <f t="shared" si="214"/>
        <v>1h</v>
      </c>
      <c r="W215" t="str">
        <f>"06 Aug 2019 15:00"</f>
        <v>06 Aug 2019 15:00</v>
      </c>
      <c r="X215" t="str">
        <f>""</f>
        <v/>
      </c>
      <c r="Y215" t="str">
        <f>"06 Aug 2019 16:00"</f>
        <v>06 Aug 2019 16:00</v>
      </c>
      <c r="Z215" t="str">
        <f>""</f>
        <v/>
      </c>
      <c r="AA215" t="str">
        <f>""</f>
        <v/>
      </c>
      <c r="AB215" t="str">
        <f t="shared" si="198"/>
        <v>NN</v>
      </c>
      <c r="AC215" t="str">
        <f t="shared" si="208"/>
        <v>LL</v>
      </c>
      <c r="AD215" t="str">
        <f t="shared" si="209"/>
        <v>0</v>
      </c>
      <c r="AE215" t="str">
        <f t="shared" si="209"/>
        <v>0</v>
      </c>
      <c r="AF215" t="str">
        <f t="shared" ref="AF215:AO215" si="224">"06 Aug 2019 15:00"</f>
        <v>06 Aug 2019 15:00</v>
      </c>
      <c r="AG215" t="str">
        <f t="shared" si="224"/>
        <v>06 Aug 2019 15:00</v>
      </c>
      <c r="AH215" t="str">
        <f t="shared" si="224"/>
        <v>06 Aug 2019 15:00</v>
      </c>
      <c r="AI215" t="str">
        <f t="shared" si="224"/>
        <v>06 Aug 2019 15:00</v>
      </c>
      <c r="AJ215" t="str">
        <f t="shared" si="224"/>
        <v>06 Aug 2019 15:00</v>
      </c>
      <c r="AK215" t="str">
        <f t="shared" si="224"/>
        <v>06 Aug 2019 15:00</v>
      </c>
      <c r="AL215" t="str">
        <f t="shared" si="224"/>
        <v>06 Aug 2019 15:00</v>
      </c>
      <c r="AM215" t="str">
        <f t="shared" si="224"/>
        <v>06 Aug 2019 15:00</v>
      </c>
      <c r="AN215" t="str">
        <f t="shared" si="224"/>
        <v>06 Aug 2019 15:00</v>
      </c>
      <c r="AO215" t="str">
        <f t="shared" si="224"/>
        <v>06 Aug 2019 15:00</v>
      </c>
      <c r="AP215" t="str">
        <f>"06 Aug 2019 16:00"</f>
        <v>06 Aug 2019 16:00</v>
      </c>
      <c r="AQ215" t="str">
        <f>"06 Aug 2019 15:00"</f>
        <v>06 Aug 2019 15:00</v>
      </c>
      <c r="AR215" t="str">
        <f t="shared" si="217"/>
        <v>Y</v>
      </c>
      <c r="AS215" t="str">
        <f t="shared" si="217"/>
        <v>Y</v>
      </c>
      <c r="AT215" t="str">
        <f t="shared" si="206"/>
        <v>Y</v>
      </c>
      <c r="AU215" t="str">
        <f t="shared" si="203"/>
        <v>N</v>
      </c>
      <c r="AV215" t="str">
        <f t="shared" si="203"/>
        <v>N</v>
      </c>
      <c r="AW215" t="str">
        <f>""</f>
        <v/>
      </c>
      <c r="AX215" t="str">
        <f t="shared" si="199"/>
        <v>No</v>
      </c>
      <c r="AY215" t="str">
        <f>""</f>
        <v/>
      </c>
      <c r="AZ215" t="s">
        <v>12</v>
      </c>
      <c r="BA215" t="s">
        <v>110</v>
      </c>
      <c r="BB215" t="s">
        <v>110</v>
      </c>
    </row>
    <row r="216" spans="1:54">
      <c r="A216" s="7" t="str">
        <f t="shared" si="200"/>
        <v>PHKG2VT7384</v>
      </c>
      <c r="B216" s="8" t="e">
        <f t="shared" si="201"/>
        <v>#VALUE!</v>
      </c>
      <c r="C216" t="str">
        <f t="shared" si="213"/>
        <v>PHKG</v>
      </c>
      <c r="D216" t="str">
        <f t="shared" si="219"/>
        <v>2VT</v>
      </c>
      <c r="E216" t="str">
        <f t="shared" si="220"/>
        <v>KWONG FEI</v>
      </c>
      <c r="F216" t="str">
        <f>""</f>
        <v/>
      </c>
      <c r="G216" t="str">
        <f t="shared" si="196"/>
        <v>OOCL</v>
      </c>
      <c r="H216" t="str">
        <f>""</f>
        <v/>
      </c>
      <c r="I216" t="str">
        <f>"290"</f>
        <v>290</v>
      </c>
      <c r="J216" t="str">
        <f t="shared" si="218"/>
        <v>S</v>
      </c>
      <c r="K216" t="str">
        <f>"3"</f>
        <v>3</v>
      </c>
      <c r="L216" t="str">
        <f>"HKG04"</f>
        <v>HKG04</v>
      </c>
      <c r="M216" t="str">
        <f>"Cosco - HIT Terminals (HK) Ltd"</f>
        <v>Cosco - HIT Terminals (HK) Ltd</v>
      </c>
      <c r="N216" t="str">
        <f t="shared" si="197"/>
        <v>HKG</v>
      </c>
      <c r="O216" t="str">
        <f>"2"</f>
        <v>2</v>
      </c>
      <c r="P216" t="str">
        <f>""</f>
        <v/>
      </c>
      <c r="Q216" t="str">
        <f>"7384"</f>
        <v>7384</v>
      </c>
      <c r="R216" t="str">
        <f>"7384"</f>
        <v>7384</v>
      </c>
      <c r="S216" t="str">
        <f>""</f>
        <v/>
      </c>
      <c r="T216" t="str">
        <f>"06 Aug 2019 21:00"</f>
        <v>06 Aug 2019 21:00</v>
      </c>
      <c r="U216" t="str">
        <f>"06 Aug 2019 22:00"</f>
        <v>06 Aug 2019 22:00</v>
      </c>
      <c r="V216" t="str">
        <f t="shared" si="214"/>
        <v>1h</v>
      </c>
      <c r="W216" t="str">
        <f>"06 Aug 2019 21:00"</f>
        <v>06 Aug 2019 21:00</v>
      </c>
      <c r="X216" t="str">
        <f>""</f>
        <v/>
      </c>
      <c r="Y216" t="str">
        <f>"06 Aug 2019 22:00"</f>
        <v>06 Aug 2019 22:00</v>
      </c>
      <c r="Z216" t="str">
        <f>""</f>
        <v/>
      </c>
      <c r="AA216" t="str">
        <f>""</f>
        <v/>
      </c>
      <c r="AB216" t="str">
        <f t="shared" si="198"/>
        <v>NN</v>
      </c>
      <c r="AC216" t="str">
        <f t="shared" si="208"/>
        <v>LL</v>
      </c>
      <c r="AD216" t="str">
        <f t="shared" si="209"/>
        <v>0</v>
      </c>
      <c r="AE216" t="str">
        <f t="shared" si="209"/>
        <v>0</v>
      </c>
      <c r="AF216" t="str">
        <f>"06 Aug 2019 21:00"</f>
        <v>06 Aug 2019 21:00</v>
      </c>
      <c r="AG216" t="str">
        <f>"06 Aug 2019 21:00"</f>
        <v>06 Aug 2019 21:00</v>
      </c>
      <c r="AH216" t="str">
        <f>"06 Aug 2019 21:00"</f>
        <v>06 Aug 2019 21:00</v>
      </c>
      <c r="AI216" t="str">
        <f>"06 Aug 2019 21:00"</f>
        <v>06 Aug 2019 21:00</v>
      </c>
      <c r="AJ216" t="str">
        <f>"06 Aug 2019 21:00"</f>
        <v>06 Aug 2019 21:00</v>
      </c>
      <c r="AK216" t="str">
        <f>"06 Aug 2019 22:00"</f>
        <v>06 Aug 2019 22:00</v>
      </c>
      <c r="AL216" t="str">
        <f>"06 Aug 2019 22:00"</f>
        <v>06 Aug 2019 22:00</v>
      </c>
      <c r="AM216" t="str">
        <f>"06 Aug 2019 22:00"</f>
        <v>06 Aug 2019 22:00</v>
      </c>
      <c r="AN216" t="str">
        <f>"06 Aug 2019 22:00"</f>
        <v>06 Aug 2019 22:00</v>
      </c>
      <c r="AO216" t="str">
        <f>"06 Aug 2019 22:00"</f>
        <v>06 Aug 2019 22:00</v>
      </c>
      <c r="AP216" t="str">
        <f>""</f>
        <v/>
      </c>
      <c r="AQ216" t="str">
        <f>"06 Aug 2019 21:00"</f>
        <v>06 Aug 2019 21:00</v>
      </c>
      <c r="AR216" t="str">
        <f t="shared" si="217"/>
        <v>Y</v>
      </c>
      <c r="AS216" t="str">
        <f t="shared" si="217"/>
        <v>Y</v>
      </c>
      <c r="AT216" t="str">
        <f t="shared" si="217"/>
        <v>Y</v>
      </c>
      <c r="AU216" t="str">
        <f t="shared" si="203"/>
        <v>N</v>
      </c>
      <c r="AV216" t="str">
        <f t="shared" si="203"/>
        <v>N</v>
      </c>
      <c r="AW216" t="str">
        <f>""</f>
        <v/>
      </c>
      <c r="AX216" t="str">
        <f t="shared" si="199"/>
        <v>No</v>
      </c>
      <c r="AY216" t="str">
        <f>""</f>
        <v/>
      </c>
      <c r="AZ216" t="s">
        <v>12</v>
      </c>
      <c r="BA216" t="s">
        <v>110</v>
      </c>
      <c r="BB216" t="s">
        <v>110</v>
      </c>
    </row>
    <row r="217" spans="1:54">
      <c r="A217" s="7" t="str">
        <f t="shared" si="200"/>
        <v>PHKG7JP058N</v>
      </c>
      <c r="B217" s="8">
        <f t="shared" si="201"/>
        <v>43680.875</v>
      </c>
      <c r="C217" t="str">
        <f t="shared" si="213"/>
        <v>PHKG</v>
      </c>
      <c r="D217" t="str">
        <f>"7JP"</f>
        <v>7JP</v>
      </c>
      <c r="E217" t="str">
        <f>"FENG DA 8"</f>
        <v>FENG DA 8</v>
      </c>
      <c r="F217" t="str">
        <f>""</f>
        <v/>
      </c>
      <c r="G217" t="str">
        <f t="shared" si="196"/>
        <v>OOCL</v>
      </c>
      <c r="H217" t="str">
        <f>""</f>
        <v/>
      </c>
      <c r="I217" t="str">
        <f>"058"</f>
        <v>058</v>
      </c>
      <c r="J217" t="str">
        <f>"N"</f>
        <v>N</v>
      </c>
      <c r="K217" t="str">
        <f>"1"</f>
        <v>1</v>
      </c>
      <c r="L217" t="str">
        <f>"HKG02"</f>
        <v>HKG02</v>
      </c>
      <c r="M217" t="str">
        <f>"HIT - Hongkong International Terminals"</f>
        <v>HIT - Hongkong International Terminals</v>
      </c>
      <c r="N217" t="str">
        <f t="shared" si="197"/>
        <v>HKG</v>
      </c>
      <c r="O217" t="str">
        <f>"1"</f>
        <v>1</v>
      </c>
      <c r="P217" t="str">
        <f>""</f>
        <v/>
      </c>
      <c r="Q217" t="str">
        <f>"058N"</f>
        <v>058N</v>
      </c>
      <c r="R217" t="str">
        <f>"058N"</f>
        <v>058N</v>
      </c>
      <c r="S217" t="str">
        <f>""</f>
        <v/>
      </c>
      <c r="T217" t="str">
        <f>"03 Aug 2019 20:00"</f>
        <v>03 Aug 2019 20:00</v>
      </c>
      <c r="U217" t="str">
        <f>"03 Aug 2019 22:00"</f>
        <v>03 Aug 2019 22:00</v>
      </c>
      <c r="V217" t="str">
        <f>"2h"</f>
        <v>2h</v>
      </c>
      <c r="W217" t="str">
        <f>"03 Aug 2019 20:00"</f>
        <v>03 Aug 2019 20:00</v>
      </c>
      <c r="X217" t="str">
        <f>""</f>
        <v/>
      </c>
      <c r="Y217" t="str">
        <f>"03 Aug 2019 22:00"</f>
        <v>03 Aug 2019 22:00</v>
      </c>
      <c r="Z217" t="str">
        <f>""</f>
        <v/>
      </c>
      <c r="AA217" t="str">
        <f>""</f>
        <v/>
      </c>
      <c r="AB217" t="str">
        <f t="shared" si="198"/>
        <v>NN</v>
      </c>
      <c r="AC217" t="str">
        <f t="shared" si="208"/>
        <v>LL</v>
      </c>
      <c r="AD217" t="str">
        <f t="shared" si="209"/>
        <v>0</v>
      </c>
      <c r="AE217" t="str">
        <f t="shared" si="209"/>
        <v>0</v>
      </c>
      <c r="AF217" t="str">
        <f t="shared" ref="AF217:AQ217" si="225">"03 Aug 2019 21:00"</f>
        <v>03 Aug 2019 21:00</v>
      </c>
      <c r="AG217" t="str">
        <f t="shared" si="225"/>
        <v>03 Aug 2019 21:00</v>
      </c>
      <c r="AH217" t="str">
        <f t="shared" si="225"/>
        <v>03 Aug 2019 21:00</v>
      </c>
      <c r="AI217" t="str">
        <f t="shared" si="225"/>
        <v>03 Aug 2019 21:00</v>
      </c>
      <c r="AJ217" t="str">
        <f t="shared" si="225"/>
        <v>03 Aug 2019 21:00</v>
      </c>
      <c r="AK217" t="str">
        <f t="shared" si="225"/>
        <v>03 Aug 2019 21:00</v>
      </c>
      <c r="AL217" t="str">
        <f t="shared" si="225"/>
        <v>03 Aug 2019 21:00</v>
      </c>
      <c r="AM217" t="str">
        <f t="shared" si="225"/>
        <v>03 Aug 2019 21:00</v>
      </c>
      <c r="AN217" t="str">
        <f t="shared" si="225"/>
        <v>03 Aug 2019 21:00</v>
      </c>
      <c r="AO217" t="str">
        <f t="shared" si="225"/>
        <v>03 Aug 2019 21:00</v>
      </c>
      <c r="AP217" t="str">
        <f t="shared" si="225"/>
        <v>03 Aug 2019 21:00</v>
      </c>
      <c r="AQ217" t="str">
        <f t="shared" si="225"/>
        <v>03 Aug 2019 21:00</v>
      </c>
      <c r="AR217" t="str">
        <f t="shared" si="217"/>
        <v>Y</v>
      </c>
      <c r="AS217" t="str">
        <f t="shared" si="217"/>
        <v>Y</v>
      </c>
      <c r="AT217" t="str">
        <f t="shared" si="217"/>
        <v>Y</v>
      </c>
      <c r="AU217" t="str">
        <f t="shared" si="203"/>
        <v>N</v>
      </c>
      <c r="AV217" t="str">
        <f t="shared" si="203"/>
        <v>N</v>
      </c>
      <c r="AW217" t="str">
        <f>""</f>
        <v/>
      </c>
      <c r="AX217" t="str">
        <f t="shared" si="199"/>
        <v>No</v>
      </c>
      <c r="AY217" t="str">
        <f>""</f>
        <v/>
      </c>
      <c r="AZ217" t="s">
        <v>12</v>
      </c>
      <c r="BA217" t="s">
        <v>110</v>
      </c>
      <c r="BB217" t="s">
        <v>135</v>
      </c>
    </row>
    <row r="218" spans="1:54">
      <c r="A218" s="7" t="str">
        <f t="shared" si="200"/>
        <v>PHKG3TD235S</v>
      </c>
      <c r="B218" s="8" t="e">
        <f t="shared" si="201"/>
        <v>#VALUE!</v>
      </c>
      <c r="C218" t="str">
        <f t="shared" si="213"/>
        <v>PHKG</v>
      </c>
      <c r="D218" t="str">
        <f>"3TD"</f>
        <v>3TD</v>
      </c>
      <c r="E218" t="str">
        <f>"PING YE 6"</f>
        <v>PING YE 6</v>
      </c>
      <c r="F218" t="str">
        <f>"PING YE"</f>
        <v>PING YE</v>
      </c>
      <c r="G218" t="str">
        <f t="shared" si="196"/>
        <v>OOCL</v>
      </c>
      <c r="H218" t="str">
        <f>""</f>
        <v/>
      </c>
      <c r="I218" t="str">
        <f>"235"</f>
        <v>235</v>
      </c>
      <c r="J218" t="str">
        <f>"S"</f>
        <v>S</v>
      </c>
      <c r="K218" t="str">
        <f>"2"</f>
        <v>2</v>
      </c>
      <c r="L218" t="str">
        <f>"HKG02"</f>
        <v>HKG02</v>
      </c>
      <c r="M218" t="str">
        <f>"HIT - Hongkong International Terminals"</f>
        <v>HIT - Hongkong International Terminals</v>
      </c>
      <c r="N218" t="str">
        <f t="shared" si="197"/>
        <v>HKG</v>
      </c>
      <c r="O218" t="str">
        <f>"1"</f>
        <v>1</v>
      </c>
      <c r="P218" t="str">
        <f>""</f>
        <v/>
      </c>
      <c r="Q218" t="str">
        <f>"235S"</f>
        <v>235S</v>
      </c>
      <c r="R218" t="str">
        <f>"235S"</f>
        <v>235S</v>
      </c>
      <c r="S218" t="str">
        <f>""</f>
        <v/>
      </c>
      <c r="T218" t="str">
        <f>"05 Aug 2019 12:00"</f>
        <v>05 Aug 2019 12:00</v>
      </c>
      <c r="U218" t="str">
        <f>"05 Aug 2019 13:00"</f>
        <v>05 Aug 2019 13:00</v>
      </c>
      <c r="V218" t="str">
        <f>"1h"</f>
        <v>1h</v>
      </c>
      <c r="W218" t="str">
        <f>"05 Aug 2019 12:00"</f>
        <v>05 Aug 2019 12:00</v>
      </c>
      <c r="X218" t="str">
        <f>""</f>
        <v/>
      </c>
      <c r="Y218" t="str">
        <f>"05 Aug 2019 13:00"</f>
        <v>05 Aug 2019 13:00</v>
      </c>
      <c r="Z218" t="str">
        <f>""</f>
        <v/>
      </c>
      <c r="AA218" t="str">
        <f>""</f>
        <v/>
      </c>
      <c r="AB218" t="str">
        <f t="shared" si="198"/>
        <v>NN</v>
      </c>
      <c r="AC218" t="str">
        <f t="shared" si="208"/>
        <v>LL</v>
      </c>
      <c r="AD218" t="str">
        <f t="shared" si="209"/>
        <v>0</v>
      </c>
      <c r="AE218" t="str">
        <f t="shared" si="209"/>
        <v>0</v>
      </c>
      <c r="AF218" t="str">
        <f>"05 Aug 2019 12:00"</f>
        <v>05 Aug 2019 12:00</v>
      </c>
      <c r="AG218" t="str">
        <f>"05 Aug 2019 12:00"</f>
        <v>05 Aug 2019 12:00</v>
      </c>
      <c r="AH218" t="str">
        <f>"05 Aug 2019 12:00"</f>
        <v>05 Aug 2019 12:00</v>
      </c>
      <c r="AI218" t="str">
        <f>"05 Aug 2019 12:00"</f>
        <v>05 Aug 2019 12:00</v>
      </c>
      <c r="AJ218" t="str">
        <f>"05 Aug 2019 12:00"</f>
        <v>05 Aug 2019 12:00</v>
      </c>
      <c r="AK218" t="str">
        <f>"05 Aug 2019 11:00"</f>
        <v>05 Aug 2019 11:00</v>
      </c>
      <c r="AL218" t="str">
        <f>"05 Aug 2019 11:00"</f>
        <v>05 Aug 2019 11:00</v>
      </c>
      <c r="AM218" t="str">
        <f>"05 Aug 2019 11:00"</f>
        <v>05 Aug 2019 11:00</v>
      </c>
      <c r="AN218" t="str">
        <f>"05 Aug 2019 11:00"</f>
        <v>05 Aug 2019 11:00</v>
      </c>
      <c r="AO218" t="str">
        <f>"05 Aug 2019 11:00"</f>
        <v>05 Aug 2019 11:00</v>
      </c>
      <c r="AP218" t="str">
        <f>""</f>
        <v/>
      </c>
      <c r="AQ218" t="str">
        <f>"05 Aug 2019 12:00"</f>
        <v>05 Aug 2019 12:00</v>
      </c>
      <c r="AR218" t="str">
        <f t="shared" si="217"/>
        <v>Y</v>
      </c>
      <c r="AS218" t="str">
        <f t="shared" si="217"/>
        <v>Y</v>
      </c>
      <c r="AT218" t="str">
        <f t="shared" si="217"/>
        <v>Y</v>
      </c>
      <c r="AU218" t="str">
        <f t="shared" ref="AU218:AV236" si="226">"N"</f>
        <v>N</v>
      </c>
      <c r="AV218" t="str">
        <f t="shared" si="226"/>
        <v>N</v>
      </c>
      <c r="AW218" t="str">
        <f>""</f>
        <v/>
      </c>
      <c r="AX218" t="str">
        <f t="shared" si="199"/>
        <v>No</v>
      </c>
      <c r="AY218" t="str">
        <f>""</f>
        <v/>
      </c>
      <c r="AZ218" t="s">
        <v>12</v>
      </c>
      <c r="BA218" t="s">
        <v>110</v>
      </c>
      <c r="BB218" t="s">
        <v>110</v>
      </c>
    </row>
    <row r="219" spans="1:54">
      <c r="A219" s="7" t="str">
        <f t="shared" si="200"/>
        <v>PHKG3TD235S</v>
      </c>
      <c r="B219" s="8" t="e">
        <f t="shared" si="201"/>
        <v>#VALUE!</v>
      </c>
      <c r="C219" t="str">
        <f t="shared" si="213"/>
        <v>PHKG</v>
      </c>
      <c r="D219" t="str">
        <f>"3TD"</f>
        <v>3TD</v>
      </c>
      <c r="E219" t="str">
        <f>"PING YE 6"</f>
        <v>PING YE 6</v>
      </c>
      <c r="F219" t="str">
        <f>"PING YE"</f>
        <v>PING YE</v>
      </c>
      <c r="G219" t="str">
        <f t="shared" si="196"/>
        <v>OOCL</v>
      </c>
      <c r="H219" t="str">
        <f>""</f>
        <v/>
      </c>
      <c r="I219" t="str">
        <f>"235"</f>
        <v>235</v>
      </c>
      <c r="J219" t="str">
        <f>"S"</f>
        <v>S</v>
      </c>
      <c r="K219" t="str">
        <f>"3"</f>
        <v>3</v>
      </c>
      <c r="L219" t="str">
        <f>"HKG01"</f>
        <v>HKG01</v>
      </c>
      <c r="M219" t="str">
        <f>"Modern Terminal Limited (MTL)"</f>
        <v>Modern Terminal Limited (MTL)</v>
      </c>
      <c r="N219" t="str">
        <f t="shared" si="197"/>
        <v>HKG</v>
      </c>
      <c r="O219" t="str">
        <f>"2"</f>
        <v>2</v>
      </c>
      <c r="P219" t="str">
        <f>""</f>
        <v/>
      </c>
      <c r="Q219" t="str">
        <f>"235S"</f>
        <v>235S</v>
      </c>
      <c r="R219" t="str">
        <f>"235S"</f>
        <v>235S</v>
      </c>
      <c r="S219" t="str">
        <f>""</f>
        <v/>
      </c>
      <c r="T219" t="str">
        <f>"05 Aug 2019 17:00"</f>
        <v>05 Aug 2019 17:00</v>
      </c>
      <c r="U219" t="str">
        <f>"05 Aug 2019 19:00"</f>
        <v>05 Aug 2019 19:00</v>
      </c>
      <c r="V219" t="str">
        <f>"2h"</f>
        <v>2h</v>
      </c>
      <c r="W219" t="str">
        <f>"05 Aug 2019 17:00"</f>
        <v>05 Aug 2019 17:00</v>
      </c>
      <c r="X219" t="str">
        <f>""</f>
        <v/>
      </c>
      <c r="Y219" t="str">
        <f>"05 Aug 2019 19:00"</f>
        <v>05 Aug 2019 19:00</v>
      </c>
      <c r="Z219" t="str">
        <f>""</f>
        <v/>
      </c>
      <c r="AA219" t="str">
        <f>""</f>
        <v/>
      </c>
      <c r="AB219" t="str">
        <f t="shared" si="198"/>
        <v>NN</v>
      </c>
      <c r="AC219" t="str">
        <f t="shared" si="208"/>
        <v>LL</v>
      </c>
      <c r="AD219" t="str">
        <f t="shared" si="209"/>
        <v>0</v>
      </c>
      <c r="AE219" t="str">
        <f t="shared" si="209"/>
        <v>0</v>
      </c>
      <c r="AF219" t="str">
        <f>"05 Aug 2019 17:00"</f>
        <v>05 Aug 2019 17:00</v>
      </c>
      <c r="AG219" t="str">
        <f>"05 Aug 2019 17:00"</f>
        <v>05 Aug 2019 17:00</v>
      </c>
      <c r="AH219" t="str">
        <f>"05 Aug 2019 17:00"</f>
        <v>05 Aug 2019 17:00</v>
      </c>
      <c r="AI219" t="str">
        <f>"05 Aug 2019 17:00"</f>
        <v>05 Aug 2019 17:00</v>
      </c>
      <c r="AJ219" t="str">
        <f>"05 Aug 2019 17:00"</f>
        <v>05 Aug 2019 17:00</v>
      </c>
      <c r="AK219" t="str">
        <f>"05 Aug 2019 19:00"</f>
        <v>05 Aug 2019 19:00</v>
      </c>
      <c r="AL219" t="str">
        <f>"05 Aug 2019 19:00"</f>
        <v>05 Aug 2019 19:00</v>
      </c>
      <c r="AM219" t="str">
        <f>"05 Aug 2019 19:00"</f>
        <v>05 Aug 2019 19:00</v>
      </c>
      <c r="AN219" t="str">
        <f>"05 Aug 2019 19:00"</f>
        <v>05 Aug 2019 19:00</v>
      </c>
      <c r="AO219" t="str">
        <f>"05 Aug 2019 19:00"</f>
        <v>05 Aug 2019 19:00</v>
      </c>
      <c r="AP219" t="str">
        <f>""</f>
        <v/>
      </c>
      <c r="AQ219" t="str">
        <f>"05 Aug 2019 17:00"</f>
        <v>05 Aug 2019 17:00</v>
      </c>
      <c r="AR219" t="str">
        <f t="shared" si="217"/>
        <v>Y</v>
      </c>
      <c r="AS219" t="str">
        <f t="shared" si="217"/>
        <v>Y</v>
      </c>
      <c r="AT219" t="str">
        <f t="shared" si="217"/>
        <v>Y</v>
      </c>
      <c r="AU219" t="str">
        <f t="shared" si="226"/>
        <v>N</v>
      </c>
      <c r="AV219" t="str">
        <f t="shared" si="226"/>
        <v>N</v>
      </c>
      <c r="AW219" t="str">
        <f>""</f>
        <v/>
      </c>
      <c r="AX219" t="str">
        <f t="shared" si="199"/>
        <v>No</v>
      </c>
      <c r="AY219" t="str">
        <f>""</f>
        <v/>
      </c>
      <c r="AZ219" t="s">
        <v>12</v>
      </c>
      <c r="BA219" t="s">
        <v>110</v>
      </c>
      <c r="BB219" t="s">
        <v>110</v>
      </c>
    </row>
    <row r="220" spans="1:54">
      <c r="A220" s="7" t="str">
        <f t="shared" si="200"/>
        <v>PHKGXE4190806N</v>
      </c>
      <c r="B220" s="8">
        <f t="shared" si="201"/>
        <v>43683.5</v>
      </c>
      <c r="C220" t="str">
        <f t="shared" si="213"/>
        <v>PHKG</v>
      </c>
      <c r="D220" t="str">
        <f>"XE4"</f>
        <v>XE4</v>
      </c>
      <c r="E220" t="str">
        <f>"GONG PING"</f>
        <v>GONG PING</v>
      </c>
      <c r="F220" t="str">
        <f>""</f>
        <v/>
      </c>
      <c r="G220" t="str">
        <f t="shared" si="196"/>
        <v>OOCL</v>
      </c>
      <c r="H220" t="str">
        <f>""</f>
        <v/>
      </c>
      <c r="I220" t="str">
        <f>"210"</f>
        <v>210</v>
      </c>
      <c r="J220" t="str">
        <f>"N"</f>
        <v>N</v>
      </c>
      <c r="K220" t="str">
        <f>"1"</f>
        <v>1</v>
      </c>
      <c r="L220" t="str">
        <f>"HKG13"</f>
        <v>HKG13</v>
      </c>
      <c r="M220" t="str">
        <f>"River Trade Terminal Co., Ltd"</f>
        <v>River Trade Terminal Co., Ltd</v>
      </c>
      <c r="N220" t="str">
        <f t="shared" si="197"/>
        <v>HKG</v>
      </c>
      <c r="O220" t="str">
        <f t="shared" ref="O220:O236" si="227">"1"</f>
        <v>1</v>
      </c>
      <c r="P220" t="str">
        <f>""</f>
        <v/>
      </c>
      <c r="Q220" t="str">
        <f>"190806N"</f>
        <v>190806N</v>
      </c>
      <c r="R220" t="str">
        <f>"190806N"</f>
        <v>190806N</v>
      </c>
      <c r="S220" t="str">
        <f>""</f>
        <v/>
      </c>
      <c r="T220" t="str">
        <f>"06 Aug 2019 23:00"</f>
        <v>06 Aug 2019 23:00</v>
      </c>
      <c r="U220" t="str">
        <f>"07 Aug 2019 00:00"</f>
        <v>07 Aug 2019 00:00</v>
      </c>
      <c r="V220" t="str">
        <f>"1h"</f>
        <v>1h</v>
      </c>
      <c r="W220" t="str">
        <f>"06 Aug 2019 23:00"</f>
        <v>06 Aug 2019 23:00</v>
      </c>
      <c r="X220" t="str">
        <f>""</f>
        <v/>
      </c>
      <c r="Y220" t="str">
        <f>"07 Aug 2019 00:00"</f>
        <v>07 Aug 2019 00:00</v>
      </c>
      <c r="Z220" t="str">
        <f>""</f>
        <v/>
      </c>
      <c r="AA220" t="str">
        <f>""</f>
        <v/>
      </c>
      <c r="AB220" t="str">
        <f t="shared" si="198"/>
        <v>NN</v>
      </c>
      <c r="AC220" t="str">
        <f t="shared" si="208"/>
        <v>LL</v>
      </c>
      <c r="AD220" t="str">
        <f t="shared" si="209"/>
        <v>0</v>
      </c>
      <c r="AE220" t="str">
        <f t="shared" si="209"/>
        <v>0</v>
      </c>
      <c r="AF220" t="str">
        <f>"06 Aug 2019 23:00"</f>
        <v>06 Aug 2019 23:00</v>
      </c>
      <c r="AG220" t="str">
        <f>"06 Aug 2019 23:00"</f>
        <v>06 Aug 2019 23:00</v>
      </c>
      <c r="AH220" t="str">
        <f>"06 Aug 2019 23:00"</f>
        <v>06 Aug 2019 23:00</v>
      </c>
      <c r="AI220" t="str">
        <f>"06 Aug 2019 23:00"</f>
        <v>06 Aug 2019 23:00</v>
      </c>
      <c r="AJ220" t="str">
        <f>"06 Aug 2019 23:00"</f>
        <v>06 Aug 2019 23:00</v>
      </c>
      <c r="AK220" t="str">
        <f t="shared" ref="AK220:AP220" si="228">"06 Aug 2019 12:00"</f>
        <v>06 Aug 2019 12:00</v>
      </c>
      <c r="AL220" t="str">
        <f t="shared" si="228"/>
        <v>06 Aug 2019 12:00</v>
      </c>
      <c r="AM220" t="str">
        <f t="shared" si="228"/>
        <v>06 Aug 2019 12:00</v>
      </c>
      <c r="AN220" t="str">
        <f t="shared" si="228"/>
        <v>06 Aug 2019 12:00</v>
      </c>
      <c r="AO220" t="str">
        <f t="shared" si="228"/>
        <v>06 Aug 2019 12:00</v>
      </c>
      <c r="AP220" t="str">
        <f t="shared" si="228"/>
        <v>06 Aug 2019 12:00</v>
      </c>
      <c r="AQ220" t="str">
        <f>"06 Aug 2019 23:00"</f>
        <v>06 Aug 2019 23:00</v>
      </c>
      <c r="AR220" t="str">
        <f t="shared" si="217"/>
        <v>Y</v>
      </c>
      <c r="AS220" t="str">
        <f t="shared" si="217"/>
        <v>Y</v>
      </c>
      <c r="AT220" t="str">
        <f t="shared" si="217"/>
        <v>Y</v>
      </c>
      <c r="AU220" t="str">
        <f t="shared" si="226"/>
        <v>N</v>
      </c>
      <c r="AV220" t="str">
        <f t="shared" si="226"/>
        <v>N</v>
      </c>
      <c r="AW220" t="str">
        <f>""</f>
        <v/>
      </c>
      <c r="AX220" t="str">
        <f t="shared" si="199"/>
        <v>No</v>
      </c>
      <c r="AY220" t="str">
        <f>""</f>
        <v/>
      </c>
      <c r="AZ220" t="s">
        <v>12</v>
      </c>
      <c r="BA220" t="s">
        <v>110</v>
      </c>
      <c r="BB220" t="s">
        <v>110</v>
      </c>
    </row>
    <row r="221" spans="1:54">
      <c r="A221" s="7" t="str">
        <f t="shared" si="200"/>
        <v>PNW1OSF142E</v>
      </c>
      <c r="B221" s="8">
        <f t="shared" si="201"/>
        <v>43680.75</v>
      </c>
      <c r="C221" t="str">
        <f>"PNW1"</f>
        <v>PNW1</v>
      </c>
      <c r="D221" t="str">
        <f>"OSF"</f>
        <v>OSF</v>
      </c>
      <c r="E221" t="str">
        <f>"OOCL SAN FRANCISCO"</f>
        <v>OOCL SAN FRANCISCO</v>
      </c>
      <c r="F221" t="str">
        <f>"OOCL"</f>
        <v>OOCL</v>
      </c>
      <c r="G221" t="str">
        <f t="shared" si="196"/>
        <v>OOCL</v>
      </c>
      <c r="H221" t="str">
        <f>"PNW4"</f>
        <v>PNW4</v>
      </c>
      <c r="I221" t="str">
        <f>"142"</f>
        <v>142</v>
      </c>
      <c r="J221" t="str">
        <f>"E"</f>
        <v>E</v>
      </c>
      <c r="K221" t="str">
        <f>"2"</f>
        <v>2</v>
      </c>
      <c r="L221" t="str">
        <f t="shared" ref="L221:L236" si="229">"HKG02"</f>
        <v>HKG02</v>
      </c>
      <c r="M221" t="str">
        <f t="shared" ref="M221:M236" si="230">"HIT - Hongkong International Terminals"</f>
        <v>HIT - Hongkong International Terminals</v>
      </c>
      <c r="N221" t="str">
        <f t="shared" si="197"/>
        <v>HKG</v>
      </c>
      <c r="O221" t="str">
        <f t="shared" si="227"/>
        <v>1</v>
      </c>
      <c r="P221" t="str">
        <f>"VRWN4"</f>
        <v>VRWN4</v>
      </c>
      <c r="Q221" t="str">
        <f>"142E"</f>
        <v>142E</v>
      </c>
      <c r="R221" t="str">
        <f>"142E"</f>
        <v>142E</v>
      </c>
      <c r="S221" t="str">
        <f>""</f>
        <v/>
      </c>
      <c r="T221" t="str">
        <f>"04 Aug 2019 08:00"</f>
        <v>04 Aug 2019 08:00</v>
      </c>
      <c r="U221" t="str">
        <f>"04 Aug 2019 21:00"</f>
        <v>04 Aug 2019 21:00</v>
      </c>
      <c r="V221" t="str">
        <f>"13h"</f>
        <v>13h</v>
      </c>
      <c r="W221" t="str">
        <f>"04 Aug 2019 03:00"</f>
        <v>04 Aug 2019 03:00</v>
      </c>
      <c r="X221" t="str">
        <f>""</f>
        <v/>
      </c>
      <c r="Y221" t="str">
        <f>"04 Aug 2019 15:00"</f>
        <v>04 Aug 2019 15:00</v>
      </c>
      <c r="Z221" t="str">
        <f>""</f>
        <v/>
      </c>
      <c r="AA221" t="str">
        <f>""</f>
        <v/>
      </c>
      <c r="AB221" t="str">
        <f t="shared" si="198"/>
        <v>NN</v>
      </c>
      <c r="AC221" t="str">
        <f>"CC"</f>
        <v>CC</v>
      </c>
      <c r="AD221" t="str">
        <f>"-5"</f>
        <v>-5</v>
      </c>
      <c r="AE221" t="str">
        <f>"-6"</f>
        <v>-6</v>
      </c>
      <c r="AF221" t="str">
        <f>"05 Aug 2019 03:00"</f>
        <v>05 Aug 2019 03:00</v>
      </c>
      <c r="AG221" t="str">
        <f>"05 Aug 2019 03:00"</f>
        <v>05 Aug 2019 03:00</v>
      </c>
      <c r="AH221" t="str">
        <f>"05 Aug 2019 03:00"</f>
        <v>05 Aug 2019 03:00</v>
      </c>
      <c r="AI221" t="str">
        <f>"05 Aug 2019 03:00"</f>
        <v>05 Aug 2019 03:00</v>
      </c>
      <c r="AJ221" t="str">
        <f>"05 Aug 2019 03:00"</f>
        <v>05 Aug 2019 03:00</v>
      </c>
      <c r="AK221" t="str">
        <f>"03 Aug 2019 23:00"</f>
        <v>03 Aug 2019 23:00</v>
      </c>
      <c r="AL221" t="str">
        <f>"03 Aug 2019 23:00"</f>
        <v>03 Aug 2019 23:00</v>
      </c>
      <c r="AM221" t="str">
        <f>"03 Aug 2019 23:00"</f>
        <v>03 Aug 2019 23:00</v>
      </c>
      <c r="AN221" t="str">
        <f>"03 Aug 2019 23:00"</f>
        <v>03 Aug 2019 23:00</v>
      </c>
      <c r="AO221" t="str">
        <f>"03 Aug 2019 23:00"</f>
        <v>03 Aug 2019 23:00</v>
      </c>
      <c r="AP221" t="str">
        <f>"03 Aug 2019 18:00"</f>
        <v>03 Aug 2019 18:00</v>
      </c>
      <c r="AQ221" t="str">
        <f>"04 Aug 2019 15:00"</f>
        <v>04 Aug 2019 15:00</v>
      </c>
      <c r="AR221" t="str">
        <f t="shared" si="217"/>
        <v>Y</v>
      </c>
      <c r="AS221" t="str">
        <f t="shared" si="217"/>
        <v>Y</v>
      </c>
      <c r="AT221" t="str">
        <f t="shared" si="217"/>
        <v>Y</v>
      </c>
      <c r="AU221" t="str">
        <f t="shared" si="226"/>
        <v>N</v>
      </c>
      <c r="AV221" t="str">
        <f t="shared" si="226"/>
        <v>N</v>
      </c>
      <c r="AW221" t="str">
        <f>""</f>
        <v/>
      </c>
      <c r="AX221" t="str">
        <f t="shared" si="199"/>
        <v>No</v>
      </c>
      <c r="AY221" t="str">
        <f>""</f>
        <v/>
      </c>
      <c r="AZ221" t="s">
        <v>12</v>
      </c>
      <c r="BA221" t="s">
        <v>110</v>
      </c>
      <c r="BB221" t="s">
        <v>110</v>
      </c>
    </row>
    <row r="222" spans="1:54">
      <c r="A222" s="7" t="str">
        <f t="shared" si="200"/>
        <v>PNW4CYI089N</v>
      </c>
      <c r="B222" s="8">
        <f t="shared" si="201"/>
        <v>43682.958333333336</v>
      </c>
      <c r="C222" t="str">
        <f>"PNW4"</f>
        <v>PNW4</v>
      </c>
      <c r="D222" t="str">
        <f>"CYI"</f>
        <v>CYI</v>
      </c>
      <c r="E222" t="str">
        <f>"COSCO YANTIAN"</f>
        <v>COSCO YANTIAN</v>
      </c>
      <c r="F222" t="str">
        <f>"COSCO"</f>
        <v>COSCO</v>
      </c>
      <c r="G222" t="str">
        <f t="shared" si="196"/>
        <v>OOCL</v>
      </c>
      <c r="H222" t="str">
        <f>"PNW2"</f>
        <v>PNW2</v>
      </c>
      <c r="I222" t="str">
        <f>"088"</f>
        <v>088</v>
      </c>
      <c r="J222" t="str">
        <f>"S"</f>
        <v>S</v>
      </c>
      <c r="K222" t="str">
        <f>"4"</f>
        <v>4</v>
      </c>
      <c r="L222" t="str">
        <f t="shared" si="229"/>
        <v>HKG02</v>
      </c>
      <c r="M222" t="str">
        <f t="shared" si="230"/>
        <v>HIT - Hongkong International Terminals</v>
      </c>
      <c r="N222" t="str">
        <f t="shared" si="197"/>
        <v>HKG</v>
      </c>
      <c r="O222" t="str">
        <f t="shared" si="227"/>
        <v>1</v>
      </c>
      <c r="P222" t="str">
        <f>"9HA4039"</f>
        <v>9HA4039</v>
      </c>
      <c r="Q222" t="str">
        <f>"088S"</f>
        <v>088S</v>
      </c>
      <c r="R222" t="str">
        <f>"089N"</f>
        <v>089N</v>
      </c>
      <c r="S222" t="str">
        <f>"CHT"</f>
        <v>CHT</v>
      </c>
      <c r="T222" t="str">
        <f>"06 Aug 2019 22:00"</f>
        <v>06 Aug 2019 22:00</v>
      </c>
      <c r="U222" t="str">
        <f>"07 Aug 2019 22:00"</f>
        <v>07 Aug 2019 22:00</v>
      </c>
      <c r="V222" t="str">
        <f>"24h"</f>
        <v>24h</v>
      </c>
      <c r="W222" t="str">
        <f>"06 Aug 2019 21:00"</f>
        <v>06 Aug 2019 21:00</v>
      </c>
      <c r="X222" t="str">
        <f>""</f>
        <v/>
      </c>
      <c r="Y222" t="str">
        <f>"07 Aug 2019 21:00"</f>
        <v>07 Aug 2019 21:00</v>
      </c>
      <c r="Z222" t="str">
        <f>""</f>
        <v/>
      </c>
      <c r="AA222" t="str">
        <f>""</f>
        <v/>
      </c>
      <c r="AB222" t="str">
        <f t="shared" si="198"/>
        <v>NN</v>
      </c>
      <c r="AC222" t="str">
        <f>"CC"</f>
        <v>CC</v>
      </c>
      <c r="AD222" t="str">
        <f>"-1"</f>
        <v>-1</v>
      </c>
      <c r="AE222" t="str">
        <f>"-1"</f>
        <v>-1</v>
      </c>
      <c r="AF222" t="str">
        <f t="shared" ref="AF222:AJ223" si="231">"07 Aug 2019 21:00"</f>
        <v>07 Aug 2019 21:00</v>
      </c>
      <c r="AG222" t="str">
        <f t="shared" si="231"/>
        <v>07 Aug 2019 21:00</v>
      </c>
      <c r="AH222" t="str">
        <f t="shared" si="231"/>
        <v>07 Aug 2019 21:00</v>
      </c>
      <c r="AI222" t="str">
        <f t="shared" si="231"/>
        <v>07 Aug 2019 21:00</v>
      </c>
      <c r="AJ222" t="str">
        <f t="shared" si="231"/>
        <v>07 Aug 2019 21:00</v>
      </c>
      <c r="AK222" t="str">
        <f t="shared" ref="AK222:AP223" si="232">"05 Aug 2019 23:00"</f>
        <v>05 Aug 2019 23:00</v>
      </c>
      <c r="AL222" t="str">
        <f t="shared" si="232"/>
        <v>05 Aug 2019 23:00</v>
      </c>
      <c r="AM222" t="str">
        <f t="shared" si="232"/>
        <v>05 Aug 2019 23:00</v>
      </c>
      <c r="AN222" t="str">
        <f t="shared" si="232"/>
        <v>05 Aug 2019 23:00</v>
      </c>
      <c r="AO222" t="str">
        <f t="shared" si="232"/>
        <v>05 Aug 2019 23:00</v>
      </c>
      <c r="AP222" t="str">
        <f t="shared" si="232"/>
        <v>05 Aug 2019 23:00</v>
      </c>
      <c r="AQ222" t="str">
        <f>"07 Aug 2019 21:00"</f>
        <v>07 Aug 2019 21:00</v>
      </c>
      <c r="AR222" t="str">
        <f t="shared" si="217"/>
        <v>Y</v>
      </c>
      <c r="AS222" t="str">
        <f t="shared" si="217"/>
        <v>Y</v>
      </c>
      <c r="AT222" t="str">
        <f t="shared" si="217"/>
        <v>Y</v>
      </c>
      <c r="AU222" t="str">
        <f t="shared" si="226"/>
        <v>N</v>
      </c>
      <c r="AV222" t="str">
        <f t="shared" si="226"/>
        <v>N</v>
      </c>
      <c r="AW222" t="str">
        <f>""</f>
        <v/>
      </c>
      <c r="AX222" t="str">
        <f t="shared" si="199"/>
        <v>No</v>
      </c>
      <c r="AY222" t="str">
        <f>""</f>
        <v/>
      </c>
      <c r="AZ222" t="s">
        <v>12</v>
      </c>
      <c r="BA222" t="s">
        <v>110</v>
      </c>
      <c r="BB222" t="s">
        <v>110</v>
      </c>
    </row>
    <row r="223" spans="1:54">
      <c r="A223" s="7" t="str">
        <f t="shared" si="200"/>
        <v>PNW4CYI089N</v>
      </c>
      <c r="B223" s="8">
        <f t="shared" si="201"/>
        <v>43682.958333333336</v>
      </c>
      <c r="C223" t="str">
        <f>"PNW4"</f>
        <v>PNW4</v>
      </c>
      <c r="D223" t="str">
        <f>"CYI"</f>
        <v>CYI</v>
      </c>
      <c r="E223" t="str">
        <f>"COSCO YANTIAN"</f>
        <v>COSCO YANTIAN</v>
      </c>
      <c r="F223" t="str">
        <f>"COSCO"</f>
        <v>COSCO</v>
      </c>
      <c r="G223" t="str">
        <f t="shared" si="196"/>
        <v>OOCL</v>
      </c>
      <c r="H223" t="str">
        <f>"PNW2"</f>
        <v>PNW2</v>
      </c>
      <c r="I223" t="str">
        <f>"089"</f>
        <v>089</v>
      </c>
      <c r="J223" t="str">
        <f>"N"</f>
        <v>N</v>
      </c>
      <c r="K223" t="str">
        <f>"1"</f>
        <v>1</v>
      </c>
      <c r="L223" t="str">
        <f t="shared" si="229"/>
        <v>HKG02</v>
      </c>
      <c r="M223" t="str">
        <f t="shared" si="230"/>
        <v>HIT - Hongkong International Terminals</v>
      </c>
      <c r="N223" t="str">
        <f t="shared" si="197"/>
        <v>HKG</v>
      </c>
      <c r="O223" t="str">
        <f t="shared" si="227"/>
        <v>1</v>
      </c>
      <c r="P223" t="str">
        <f>"9HA4039"</f>
        <v>9HA4039</v>
      </c>
      <c r="Q223" t="str">
        <f>"088S"</f>
        <v>088S</v>
      </c>
      <c r="R223" t="str">
        <f>"089N"</f>
        <v>089N</v>
      </c>
      <c r="S223" t="str">
        <f>"CHT"</f>
        <v>CHT</v>
      </c>
      <c r="T223" t="str">
        <f>"06 Aug 2019 22:00"</f>
        <v>06 Aug 2019 22:00</v>
      </c>
      <c r="U223" t="str">
        <f>"07 Aug 2019 22:00"</f>
        <v>07 Aug 2019 22:00</v>
      </c>
      <c r="V223" t="str">
        <f>"24h"</f>
        <v>24h</v>
      </c>
      <c r="W223" t="str">
        <f>"06 Aug 2019 21:00"</f>
        <v>06 Aug 2019 21:00</v>
      </c>
      <c r="X223" t="str">
        <f>""</f>
        <v/>
      </c>
      <c r="Y223" t="str">
        <f>"07 Aug 2019 21:00"</f>
        <v>07 Aug 2019 21:00</v>
      </c>
      <c r="Z223" t="str">
        <f>""</f>
        <v/>
      </c>
      <c r="AA223" t="str">
        <f>""</f>
        <v/>
      </c>
      <c r="AB223" t="str">
        <f t="shared" si="198"/>
        <v>NN</v>
      </c>
      <c r="AC223" t="str">
        <f>"CC"</f>
        <v>CC</v>
      </c>
      <c r="AD223" t="str">
        <f>"-1"</f>
        <v>-1</v>
      </c>
      <c r="AE223" t="str">
        <f>"-1"</f>
        <v>-1</v>
      </c>
      <c r="AF223" t="str">
        <f t="shared" si="231"/>
        <v>07 Aug 2019 21:00</v>
      </c>
      <c r="AG223" t="str">
        <f t="shared" si="231"/>
        <v>07 Aug 2019 21:00</v>
      </c>
      <c r="AH223" t="str">
        <f t="shared" si="231"/>
        <v>07 Aug 2019 21:00</v>
      </c>
      <c r="AI223" t="str">
        <f t="shared" si="231"/>
        <v>07 Aug 2019 21:00</v>
      </c>
      <c r="AJ223" t="str">
        <f t="shared" si="231"/>
        <v>07 Aug 2019 21:00</v>
      </c>
      <c r="AK223" t="str">
        <f t="shared" si="232"/>
        <v>05 Aug 2019 23:00</v>
      </c>
      <c r="AL223" t="str">
        <f t="shared" si="232"/>
        <v>05 Aug 2019 23:00</v>
      </c>
      <c r="AM223" t="str">
        <f t="shared" si="232"/>
        <v>05 Aug 2019 23:00</v>
      </c>
      <c r="AN223" t="str">
        <f t="shared" si="232"/>
        <v>05 Aug 2019 23:00</v>
      </c>
      <c r="AO223" t="str">
        <f t="shared" si="232"/>
        <v>05 Aug 2019 23:00</v>
      </c>
      <c r="AP223" t="str">
        <f t="shared" si="232"/>
        <v>05 Aug 2019 23:00</v>
      </c>
      <c r="AQ223" t="str">
        <f>"07 Aug 2019 21:00"</f>
        <v>07 Aug 2019 21:00</v>
      </c>
      <c r="AR223" t="str">
        <f t="shared" si="217"/>
        <v>Y</v>
      </c>
      <c r="AS223" t="str">
        <f t="shared" si="217"/>
        <v>Y</v>
      </c>
      <c r="AT223" t="str">
        <f t="shared" si="217"/>
        <v>Y</v>
      </c>
      <c r="AU223" t="str">
        <f t="shared" si="226"/>
        <v>N</v>
      </c>
      <c r="AV223" t="str">
        <f t="shared" si="226"/>
        <v>N</v>
      </c>
      <c r="AW223" t="str">
        <f>""</f>
        <v/>
      </c>
      <c r="AX223" t="str">
        <f t="shared" si="199"/>
        <v>No</v>
      </c>
      <c r="AY223" t="str">
        <f>""</f>
        <v/>
      </c>
      <c r="AZ223" t="s">
        <v>12</v>
      </c>
      <c r="BA223" t="s">
        <v>110</v>
      </c>
      <c r="BB223" t="s">
        <v>110</v>
      </c>
    </row>
    <row r="224" spans="1:54">
      <c r="A224" s="7" t="str">
        <f t="shared" si="200"/>
        <v>PVCSOBJ071E</v>
      </c>
      <c r="B224" s="8">
        <f t="shared" si="201"/>
        <v>43681.333333333336</v>
      </c>
      <c r="C224" t="str">
        <f>"PVCS"</f>
        <v>PVCS</v>
      </c>
      <c r="D224" t="str">
        <f>"OBJ"</f>
        <v>OBJ</v>
      </c>
      <c r="E224" t="str">
        <f>"OOCL BEIJING"</f>
        <v>OOCL BEIJING</v>
      </c>
      <c r="F224" t="str">
        <f>"OOCL"</f>
        <v>OOCL</v>
      </c>
      <c r="G224" t="str">
        <f t="shared" si="196"/>
        <v>OOCL</v>
      </c>
      <c r="H224" t="str">
        <f>"PSW6"</f>
        <v>PSW6</v>
      </c>
      <c r="I224" t="str">
        <f>"071"</f>
        <v>071</v>
      </c>
      <c r="J224" t="str">
        <f>"E"</f>
        <v>E</v>
      </c>
      <c r="K224" t="str">
        <f>"2"</f>
        <v>2</v>
      </c>
      <c r="L224" t="str">
        <f t="shared" si="229"/>
        <v>HKG02</v>
      </c>
      <c r="M224" t="str">
        <f t="shared" si="230"/>
        <v>HIT - Hongkong International Terminals</v>
      </c>
      <c r="N224" t="str">
        <f t="shared" si="197"/>
        <v>HKG</v>
      </c>
      <c r="O224" t="str">
        <f t="shared" si="227"/>
        <v>1</v>
      </c>
      <c r="P224" t="str">
        <f>"VRIB3"</f>
        <v>VRIB3</v>
      </c>
      <c r="Q224" t="str">
        <f>"071E"</f>
        <v>071E</v>
      </c>
      <c r="R224" t="str">
        <f>"071E"</f>
        <v>071E</v>
      </c>
      <c r="S224" t="str">
        <f>""</f>
        <v/>
      </c>
      <c r="T224" t="str">
        <f>"04 Aug 2019 20:00"</f>
        <v>04 Aug 2019 20:00</v>
      </c>
      <c r="U224" t="str">
        <f>"05 Aug 2019 08:00"</f>
        <v>05 Aug 2019 08:00</v>
      </c>
      <c r="V224" t="str">
        <f>"12h"</f>
        <v>12h</v>
      </c>
      <c r="W224" t="str">
        <f>"04 Aug 2019 20:00"</f>
        <v>04 Aug 2019 20:00</v>
      </c>
      <c r="X224" t="str">
        <f>""</f>
        <v/>
      </c>
      <c r="Y224" t="str">
        <f>"05 Aug 2019 08:00"</f>
        <v>05 Aug 2019 08:00</v>
      </c>
      <c r="Z224" t="str">
        <f>""</f>
        <v/>
      </c>
      <c r="AA224" t="str">
        <f>""</f>
        <v/>
      </c>
      <c r="AB224" t="str">
        <f t="shared" si="198"/>
        <v>NN</v>
      </c>
      <c r="AC224" t="str">
        <f>"LL"</f>
        <v>LL</v>
      </c>
      <c r="AD224" t="str">
        <f>"0"</f>
        <v>0</v>
      </c>
      <c r="AE224" t="str">
        <f>"0"</f>
        <v>0</v>
      </c>
      <c r="AF224" t="str">
        <f>"05 Aug 2019 09:00"</f>
        <v>05 Aug 2019 09:00</v>
      </c>
      <c r="AG224" t="str">
        <f>"05 Aug 2019 09:00"</f>
        <v>05 Aug 2019 09:00</v>
      </c>
      <c r="AH224" t="str">
        <f>"05 Aug 2019 09:00"</f>
        <v>05 Aug 2019 09:00</v>
      </c>
      <c r="AI224" t="str">
        <f>"05 Aug 2019 09:00"</f>
        <v>05 Aug 2019 09:00</v>
      </c>
      <c r="AJ224" t="str">
        <f>"05 Aug 2019 09:00"</f>
        <v>05 Aug 2019 09:00</v>
      </c>
      <c r="AK224" t="str">
        <f>"04 Aug 2019 12:00"</f>
        <v>04 Aug 2019 12:00</v>
      </c>
      <c r="AL224" t="str">
        <f>"04 Aug 2019 12:00"</f>
        <v>04 Aug 2019 12:00</v>
      </c>
      <c r="AM224" t="str">
        <f>"04 Aug 2019 12:00"</f>
        <v>04 Aug 2019 12:00</v>
      </c>
      <c r="AN224" t="str">
        <f>"04 Aug 2019 12:00"</f>
        <v>04 Aug 2019 12:00</v>
      </c>
      <c r="AO224" t="str">
        <f>"04 Aug 2019 12:00"</f>
        <v>04 Aug 2019 12:00</v>
      </c>
      <c r="AP224" t="str">
        <f>"04 Aug 2019 08:00"</f>
        <v>04 Aug 2019 08:00</v>
      </c>
      <c r="AQ224" t="str">
        <f>"05 Aug 2019 09:00"</f>
        <v>05 Aug 2019 09:00</v>
      </c>
      <c r="AR224" t="str">
        <f t="shared" si="217"/>
        <v>Y</v>
      </c>
      <c r="AS224" t="str">
        <f t="shared" si="217"/>
        <v>Y</v>
      </c>
      <c r="AT224" t="str">
        <f t="shared" si="217"/>
        <v>Y</v>
      </c>
      <c r="AU224" t="str">
        <f t="shared" si="226"/>
        <v>N</v>
      </c>
      <c r="AV224" t="str">
        <f t="shared" si="226"/>
        <v>N</v>
      </c>
      <c r="AW224" t="str">
        <f>""</f>
        <v/>
      </c>
      <c r="AX224" t="str">
        <f t="shared" si="199"/>
        <v>No</v>
      </c>
      <c r="AY224" t="str">
        <f>""</f>
        <v/>
      </c>
      <c r="AZ224" t="s">
        <v>12</v>
      </c>
      <c r="BA224" t="s">
        <v>110</v>
      </c>
      <c r="BB224" t="s">
        <v>110</v>
      </c>
    </row>
    <row r="225" spans="1:54">
      <c r="A225" s="7" t="str">
        <f t="shared" si="200"/>
        <v>SAF2EMI095W</v>
      </c>
      <c r="B225" s="8">
        <f t="shared" si="201"/>
        <v>43680.708333333336</v>
      </c>
      <c r="C225" t="str">
        <f>"SAF2"</f>
        <v>SAF2</v>
      </c>
      <c r="D225" t="str">
        <f>"EMI"</f>
        <v>EMI</v>
      </c>
      <c r="E225" t="str">
        <f>"SEASPAN EMINENCE"</f>
        <v>SEASPAN EMINENCE</v>
      </c>
      <c r="F225" t="str">
        <f>"ONE"</f>
        <v>ONE</v>
      </c>
      <c r="G225" t="str">
        <f t="shared" si="196"/>
        <v>OOCL</v>
      </c>
      <c r="H225" t="str">
        <f>""</f>
        <v/>
      </c>
      <c r="I225" t="str">
        <f>"095"</f>
        <v>095</v>
      </c>
      <c r="J225" t="str">
        <f>"W"</f>
        <v>W</v>
      </c>
      <c r="K225" t="str">
        <f>"3"</f>
        <v>3</v>
      </c>
      <c r="L225" t="str">
        <f t="shared" si="229"/>
        <v>HKG02</v>
      </c>
      <c r="M225" t="str">
        <f t="shared" si="230"/>
        <v>HIT - Hongkong International Terminals</v>
      </c>
      <c r="N225" t="str">
        <f t="shared" si="197"/>
        <v>HKG</v>
      </c>
      <c r="O225" t="str">
        <f t="shared" si="227"/>
        <v>1</v>
      </c>
      <c r="P225" t="str">
        <f>"VRFN8"</f>
        <v>VRFN8</v>
      </c>
      <c r="Q225" t="str">
        <f>"095W"</f>
        <v>095W</v>
      </c>
      <c r="R225" t="str">
        <f>"095W"</f>
        <v>095W</v>
      </c>
      <c r="S225" t="str">
        <f>""</f>
        <v/>
      </c>
      <c r="T225" t="str">
        <f>"04 Aug 2019 10:00"</f>
        <v>04 Aug 2019 10:00</v>
      </c>
      <c r="U225" t="str">
        <f>"05 Aug 2019 00:00"</f>
        <v>05 Aug 2019 00:00</v>
      </c>
      <c r="V225" t="str">
        <f>"14h"</f>
        <v>14h</v>
      </c>
      <c r="W225" t="str">
        <f>"04 Aug 2019 16:00"</f>
        <v>04 Aug 2019 16:00</v>
      </c>
      <c r="X225" t="str">
        <f>""</f>
        <v/>
      </c>
      <c r="Y225" t="str">
        <f>"05 Aug 2019 04:00"</f>
        <v>05 Aug 2019 04:00</v>
      </c>
      <c r="Z225" t="str">
        <f>""</f>
        <v/>
      </c>
      <c r="AA225" t="str">
        <f>""</f>
        <v/>
      </c>
      <c r="AB225" t="str">
        <f t="shared" si="198"/>
        <v>NN</v>
      </c>
      <c r="AC225" t="str">
        <f>"CC"</f>
        <v>CC</v>
      </c>
      <c r="AD225" t="str">
        <f>"6"</f>
        <v>6</v>
      </c>
      <c r="AE225" t="str">
        <f>"4"</f>
        <v>4</v>
      </c>
      <c r="AF225" t="str">
        <f>"05 Aug 2019 16:00"</f>
        <v>05 Aug 2019 16:00</v>
      </c>
      <c r="AG225" t="str">
        <f>"05 Aug 2019 16:00"</f>
        <v>05 Aug 2019 16:00</v>
      </c>
      <c r="AH225" t="str">
        <f>"05 Aug 2019 16:00"</f>
        <v>05 Aug 2019 16:00</v>
      </c>
      <c r="AI225" t="str">
        <f>"05 Aug 2019 16:00"</f>
        <v>05 Aug 2019 16:00</v>
      </c>
      <c r="AJ225" t="str">
        <f>"05 Aug 2019 16:00"</f>
        <v>05 Aug 2019 16:00</v>
      </c>
      <c r="AK225" t="str">
        <f t="shared" ref="AK225:AP225" si="233">"03 Aug 2019 17:00"</f>
        <v>03 Aug 2019 17:00</v>
      </c>
      <c r="AL225" t="str">
        <f t="shared" si="233"/>
        <v>03 Aug 2019 17:00</v>
      </c>
      <c r="AM225" t="str">
        <f t="shared" si="233"/>
        <v>03 Aug 2019 17:00</v>
      </c>
      <c r="AN225" t="str">
        <f t="shared" si="233"/>
        <v>03 Aug 2019 17:00</v>
      </c>
      <c r="AO225" t="str">
        <f t="shared" si="233"/>
        <v>03 Aug 2019 17:00</v>
      </c>
      <c r="AP225" t="str">
        <f t="shared" si="233"/>
        <v>03 Aug 2019 17:00</v>
      </c>
      <c r="AQ225" t="str">
        <f>"05 Aug 2019 04:00"</f>
        <v>05 Aug 2019 04:00</v>
      </c>
      <c r="AR225" t="str">
        <f t="shared" si="217"/>
        <v>Y</v>
      </c>
      <c r="AS225" t="str">
        <f t="shared" si="217"/>
        <v>Y</v>
      </c>
      <c r="AT225" t="str">
        <f t="shared" si="217"/>
        <v>Y</v>
      </c>
      <c r="AU225" t="str">
        <f t="shared" si="226"/>
        <v>N</v>
      </c>
      <c r="AV225" t="str">
        <f t="shared" si="226"/>
        <v>N</v>
      </c>
      <c r="AW225" t="str">
        <f>""</f>
        <v/>
      </c>
      <c r="AX225" t="str">
        <f t="shared" si="199"/>
        <v>No</v>
      </c>
      <c r="AY225" t="str">
        <f>"Slide one week at KAO"</f>
        <v>Slide one week at KAO</v>
      </c>
      <c r="AZ225" t="s">
        <v>12</v>
      </c>
      <c r="BA225" t="s">
        <v>110</v>
      </c>
      <c r="BB225" t="s">
        <v>110</v>
      </c>
    </row>
    <row r="226" spans="1:54">
      <c r="A226" s="7" t="str">
        <f t="shared" si="200"/>
        <v>SAF3ZEY922E27</v>
      </c>
      <c r="B226" s="8">
        <f t="shared" si="201"/>
        <v>43668.708333333336</v>
      </c>
      <c r="C226" t="str">
        <f>"SAF3"</f>
        <v>SAF3</v>
      </c>
      <c r="D226" t="str">
        <f>"ZEY"</f>
        <v>ZEY</v>
      </c>
      <c r="E226" t="str">
        <f>"ZIM NEW YORK"</f>
        <v>ZIM NEW YORK</v>
      </c>
      <c r="F226" t="str">
        <f>"GSL"</f>
        <v>GSL</v>
      </c>
      <c r="G226" t="str">
        <f t="shared" si="196"/>
        <v>OOCL</v>
      </c>
      <c r="H226" t="str">
        <f>""</f>
        <v/>
      </c>
      <c r="I226" t="str">
        <f>"922"</f>
        <v>922</v>
      </c>
      <c r="J226" t="str">
        <f>"E"</f>
        <v>E</v>
      </c>
      <c r="K226" t="str">
        <f>"5"</f>
        <v>5</v>
      </c>
      <c r="L226" t="str">
        <f t="shared" si="229"/>
        <v>HKG02</v>
      </c>
      <c r="M226" t="str">
        <f t="shared" si="230"/>
        <v>HIT - Hongkong International Terminals</v>
      </c>
      <c r="N226" t="str">
        <f t="shared" si="197"/>
        <v>HKG</v>
      </c>
      <c r="O226" t="str">
        <f t="shared" si="227"/>
        <v>1</v>
      </c>
      <c r="P226" t="str">
        <f>"VRGA7"</f>
        <v>VRGA7</v>
      </c>
      <c r="Q226" t="str">
        <f>"922E"</f>
        <v>922E</v>
      </c>
      <c r="R226" t="str">
        <f>"922E27"</f>
        <v>922E27</v>
      </c>
      <c r="S226" t="str">
        <f>"CHT"</f>
        <v>CHT</v>
      </c>
      <c r="T226" t="str">
        <f>"20 Jul 2019 11:00"</f>
        <v>20 Jul 2019 11:00</v>
      </c>
      <c r="U226" t="str">
        <f>"20 Jul 2019 18:00"</f>
        <v>20 Jul 2019 18:00</v>
      </c>
      <c r="V226" t="str">
        <f>"7h"</f>
        <v>7h</v>
      </c>
      <c r="W226" t="str">
        <f>"03 Aug 2019 00:30"</f>
        <v>03 Aug 2019 00:30</v>
      </c>
      <c r="X226" t="str">
        <f>""</f>
        <v/>
      </c>
      <c r="Y226" t="str">
        <f>"03 Aug 2019 06:30"</f>
        <v>03 Aug 2019 06:30</v>
      </c>
      <c r="Z226" t="str">
        <f>""</f>
        <v/>
      </c>
      <c r="AA226" t="str">
        <f>""</f>
        <v/>
      </c>
      <c r="AB226" t="str">
        <f t="shared" si="198"/>
        <v>NN</v>
      </c>
      <c r="AC226" t="str">
        <f>"CC"</f>
        <v>CC</v>
      </c>
      <c r="AD226" t="str">
        <f>"326"</f>
        <v>326</v>
      </c>
      <c r="AE226" t="str">
        <f>"324"</f>
        <v>324</v>
      </c>
      <c r="AF226" t="str">
        <f>"04 Aug 2019 00:30"</f>
        <v>04 Aug 2019 00:30</v>
      </c>
      <c r="AG226" t="str">
        <f>"04 Aug 2019 00:30"</f>
        <v>04 Aug 2019 00:30</v>
      </c>
      <c r="AH226" t="str">
        <f>"04 Aug 2019 00:30"</f>
        <v>04 Aug 2019 00:30</v>
      </c>
      <c r="AI226" t="str">
        <f>"04 Aug 2019 00:30"</f>
        <v>04 Aug 2019 00:30</v>
      </c>
      <c r="AJ226" t="str">
        <f>"04 Aug 2019 00:30"</f>
        <v>04 Aug 2019 00:30</v>
      </c>
      <c r="AK226" t="str">
        <f t="shared" ref="AK226:AP226" si="234">"22 Jul 2019 17:00"</f>
        <v>22 Jul 2019 17:00</v>
      </c>
      <c r="AL226" t="str">
        <f t="shared" si="234"/>
        <v>22 Jul 2019 17:00</v>
      </c>
      <c r="AM226" t="str">
        <f t="shared" si="234"/>
        <v>22 Jul 2019 17:00</v>
      </c>
      <c r="AN226" t="str">
        <f t="shared" si="234"/>
        <v>22 Jul 2019 17:00</v>
      </c>
      <c r="AO226" t="str">
        <f t="shared" si="234"/>
        <v>22 Jul 2019 17:00</v>
      </c>
      <c r="AP226" t="str">
        <f t="shared" si="234"/>
        <v>22 Jul 2019 17:00</v>
      </c>
      <c r="AQ226" t="str">
        <f>"03 Aug 2019 06:30"</f>
        <v>03 Aug 2019 06:30</v>
      </c>
      <c r="AR226" t="str">
        <f t="shared" si="217"/>
        <v>Y</v>
      </c>
      <c r="AS226" t="str">
        <f t="shared" si="217"/>
        <v>Y</v>
      </c>
      <c r="AT226" t="str">
        <f t="shared" si="217"/>
        <v>Y</v>
      </c>
      <c r="AU226" t="str">
        <f t="shared" si="226"/>
        <v>N</v>
      </c>
      <c r="AV226" t="str">
        <f t="shared" si="226"/>
        <v>N</v>
      </c>
      <c r="AW226" t="str">
        <f>""</f>
        <v/>
      </c>
      <c r="AX226" t="str">
        <f t="shared" si="199"/>
        <v>No</v>
      </c>
      <c r="AY226" t="str">
        <f>""</f>
        <v/>
      </c>
      <c r="AZ226" t="s">
        <v>12</v>
      </c>
      <c r="BA226" t="s">
        <v>110</v>
      </c>
      <c r="BB226" t="s">
        <v>110</v>
      </c>
    </row>
    <row r="227" spans="1:54">
      <c r="A227" s="7" t="str">
        <f t="shared" si="200"/>
        <v>SAF3JTU030E</v>
      </c>
      <c r="B227" s="8" t="e">
        <f t="shared" si="201"/>
        <v>#VALUE!</v>
      </c>
      <c r="C227" t="str">
        <f>"SAF3"</f>
        <v>SAF3</v>
      </c>
      <c r="D227" t="str">
        <f>"JTU"</f>
        <v>JTU</v>
      </c>
      <c r="E227" t="str">
        <f>"JPO TAURUS"</f>
        <v>JPO TAURUS</v>
      </c>
      <c r="F227" t="str">
        <f>"COSCO"</f>
        <v>COSCO</v>
      </c>
      <c r="G227" t="str">
        <f t="shared" si="196"/>
        <v>OOCL</v>
      </c>
      <c r="H227" t="str">
        <f>""</f>
        <v/>
      </c>
      <c r="I227" t="str">
        <f>"030"</f>
        <v>030</v>
      </c>
      <c r="J227" t="str">
        <f>"E"</f>
        <v>E</v>
      </c>
      <c r="K227" t="str">
        <f>"5"</f>
        <v>5</v>
      </c>
      <c r="L227" t="str">
        <f t="shared" si="229"/>
        <v>HKG02</v>
      </c>
      <c r="M227" t="str">
        <f t="shared" si="230"/>
        <v>HIT - Hongkong International Terminals</v>
      </c>
      <c r="N227" t="str">
        <f t="shared" si="197"/>
        <v>HKG</v>
      </c>
      <c r="O227" t="str">
        <f t="shared" si="227"/>
        <v>1</v>
      </c>
      <c r="P227" t="str">
        <f>"DGQD2"</f>
        <v>DGQD2</v>
      </c>
      <c r="Q227" t="str">
        <f>"030E"</f>
        <v>030E</v>
      </c>
      <c r="R227" t="str">
        <f>"030E"</f>
        <v>030E</v>
      </c>
      <c r="S227" t="str">
        <f>"CHT"</f>
        <v>CHT</v>
      </c>
      <c r="T227" t="str">
        <f>"03 Aug 2019 11:00"</f>
        <v>03 Aug 2019 11:00</v>
      </c>
      <c r="U227" t="str">
        <f>"03 Aug 2019 18:00"</f>
        <v>03 Aug 2019 18:00</v>
      </c>
      <c r="V227" t="str">
        <f>"7h"</f>
        <v>7h</v>
      </c>
      <c r="W227" t="str">
        <f>"06 Aug 2019 18:00"</f>
        <v>06 Aug 2019 18:00</v>
      </c>
      <c r="X227" t="str">
        <f>""</f>
        <v/>
      </c>
      <c r="Y227" t="str">
        <f>"07 Aug 2019 01:00"</f>
        <v>07 Aug 2019 01:00</v>
      </c>
      <c r="Z227" t="str">
        <f>""</f>
        <v/>
      </c>
      <c r="AA227" t="str">
        <f>""</f>
        <v/>
      </c>
      <c r="AB227" t="str">
        <f t="shared" si="198"/>
        <v>NN</v>
      </c>
      <c r="AC227" t="str">
        <f>"CC"</f>
        <v>CC</v>
      </c>
      <c r="AD227" t="str">
        <f>"79"</f>
        <v>79</v>
      </c>
      <c r="AE227" t="str">
        <f>"79"</f>
        <v>79</v>
      </c>
      <c r="AF227" t="str">
        <f>"07 Aug 2019 18:00"</f>
        <v>07 Aug 2019 18:00</v>
      </c>
      <c r="AG227" t="str">
        <f>"07 Aug 2019 18:00"</f>
        <v>07 Aug 2019 18:00</v>
      </c>
      <c r="AH227" t="str">
        <f>"07 Aug 2019 18:00"</f>
        <v>07 Aug 2019 18:00</v>
      </c>
      <c r="AI227" t="str">
        <f>"07 Aug 2019 18:00"</f>
        <v>07 Aug 2019 18:00</v>
      </c>
      <c r="AJ227" t="str">
        <f>"07 Aug 2019 18:00"</f>
        <v>07 Aug 2019 18:00</v>
      </c>
      <c r="AK227" t="str">
        <f>"02 Aug 2019 17:00"</f>
        <v>02 Aug 2019 17:00</v>
      </c>
      <c r="AL227" t="str">
        <f>"02 Aug 2019 17:00"</f>
        <v>02 Aug 2019 17:00</v>
      </c>
      <c r="AM227" t="str">
        <f>"02 Aug 2019 17:00"</f>
        <v>02 Aug 2019 17:00</v>
      </c>
      <c r="AN227" t="str">
        <f>"02 Aug 2019 17:00"</f>
        <v>02 Aug 2019 17:00</v>
      </c>
      <c r="AO227" t="str">
        <f>"02 Aug 2019 17:00"</f>
        <v>02 Aug 2019 17:00</v>
      </c>
      <c r="AP227" t="str">
        <f>""</f>
        <v/>
      </c>
      <c r="AQ227" t="str">
        <f>"07 Aug 2019 01:00"</f>
        <v>07 Aug 2019 01:00</v>
      </c>
      <c r="AR227" t="str">
        <f t="shared" si="217"/>
        <v>Y</v>
      </c>
      <c r="AS227" t="str">
        <f t="shared" si="217"/>
        <v>Y</v>
      </c>
      <c r="AT227" t="str">
        <f t="shared" si="217"/>
        <v>Y</v>
      </c>
      <c r="AU227" t="str">
        <f t="shared" si="226"/>
        <v>N</v>
      </c>
      <c r="AV227" t="str">
        <f t="shared" si="226"/>
        <v>N</v>
      </c>
      <c r="AW227" t="str">
        <f>"Delayed : Previous Port Delayed"</f>
        <v>Delayed : Previous Port Delayed</v>
      </c>
      <c r="AX227" t="str">
        <f t="shared" si="199"/>
        <v>No</v>
      </c>
      <c r="AY227" t="str">
        <f>""</f>
        <v/>
      </c>
      <c r="AZ227" t="s">
        <v>12</v>
      </c>
      <c r="BA227" t="s">
        <v>110</v>
      </c>
      <c r="BB227" t="s">
        <v>110</v>
      </c>
    </row>
    <row r="228" spans="1:54">
      <c r="A228" s="7" t="str">
        <f t="shared" si="200"/>
        <v>SC2XYK088E</v>
      </c>
      <c r="B228" s="8">
        <f t="shared" si="201"/>
        <v>43680.958333333336</v>
      </c>
      <c r="C228" t="str">
        <f>"SC2"</f>
        <v>SC2</v>
      </c>
      <c r="D228" t="str">
        <f>"XYK"</f>
        <v>XYK</v>
      </c>
      <c r="E228" t="str">
        <f>"XIN YING KOU"</f>
        <v>XIN YING KOU</v>
      </c>
      <c r="F228" t="str">
        <f>"COSCO"</f>
        <v>COSCO</v>
      </c>
      <c r="G228" t="str">
        <f t="shared" si="196"/>
        <v>OOCL</v>
      </c>
      <c r="H228" t="str">
        <f>""</f>
        <v/>
      </c>
      <c r="I228" t="str">
        <f>"088"</f>
        <v>088</v>
      </c>
      <c r="J228" t="str">
        <f>"E"</f>
        <v>E</v>
      </c>
      <c r="K228" t="str">
        <f>"1"</f>
        <v>1</v>
      </c>
      <c r="L228" t="str">
        <f t="shared" si="229"/>
        <v>HKG02</v>
      </c>
      <c r="M228" t="str">
        <f t="shared" si="230"/>
        <v>HIT - Hongkong International Terminals</v>
      </c>
      <c r="N228" t="str">
        <f t="shared" si="197"/>
        <v>HKG</v>
      </c>
      <c r="O228" t="str">
        <f t="shared" si="227"/>
        <v>1</v>
      </c>
      <c r="P228" t="str">
        <f>"BPBX"</f>
        <v>BPBX</v>
      </c>
      <c r="Q228" t="str">
        <f>"088E"</f>
        <v>088E</v>
      </c>
      <c r="R228" t="str">
        <f>"088E"</f>
        <v>088E</v>
      </c>
      <c r="S228" t="str">
        <f>""</f>
        <v/>
      </c>
      <c r="T228" t="str">
        <f>"04 Aug 2019 17:00"</f>
        <v>04 Aug 2019 17:00</v>
      </c>
      <c r="U228" t="str">
        <f>"05 Aug 2019 08:00"</f>
        <v>05 Aug 2019 08:00</v>
      </c>
      <c r="V228" t="str">
        <f>"15h"</f>
        <v>15h</v>
      </c>
      <c r="W228" t="str">
        <f>"04 Aug 2019 17:00"</f>
        <v>04 Aug 2019 17:00</v>
      </c>
      <c r="X228" t="str">
        <f>""</f>
        <v/>
      </c>
      <c r="Y228" t="str">
        <f>"05 Aug 2019 08:00"</f>
        <v>05 Aug 2019 08:00</v>
      </c>
      <c r="Z228" t="str">
        <f>""</f>
        <v/>
      </c>
      <c r="AA228" t="str">
        <f>""</f>
        <v/>
      </c>
      <c r="AB228" t="str">
        <f t="shared" si="198"/>
        <v>NN</v>
      </c>
      <c r="AC228" t="str">
        <f t="shared" ref="AC228:AC233" si="235">"LL"</f>
        <v>LL</v>
      </c>
      <c r="AD228" t="str">
        <f t="shared" ref="AD228:AE233" si="236">"0"</f>
        <v>0</v>
      </c>
      <c r="AE228" t="str">
        <f t="shared" si="236"/>
        <v>0</v>
      </c>
      <c r="AF228" t="str">
        <f>"05 Aug 2019 09:00"</f>
        <v>05 Aug 2019 09:00</v>
      </c>
      <c r="AG228" t="str">
        <f>"05 Aug 2019 09:00"</f>
        <v>05 Aug 2019 09:00</v>
      </c>
      <c r="AH228" t="str">
        <f>"05 Aug 2019 09:00"</f>
        <v>05 Aug 2019 09:00</v>
      </c>
      <c r="AI228" t="str">
        <f>"05 Aug 2019 09:00"</f>
        <v>05 Aug 2019 09:00</v>
      </c>
      <c r="AJ228" t="str">
        <f>"05 Aug 2019 09:00"</f>
        <v>05 Aug 2019 09:00</v>
      </c>
      <c r="AK228" t="str">
        <f>"04 Aug 2019 12:00"</f>
        <v>04 Aug 2019 12:00</v>
      </c>
      <c r="AL228" t="str">
        <f>"04 Aug 2019 12:00"</f>
        <v>04 Aug 2019 12:00</v>
      </c>
      <c r="AM228" t="str">
        <f>"04 Aug 2019 12:00"</f>
        <v>04 Aug 2019 12:00</v>
      </c>
      <c r="AN228" t="str">
        <f>"04 Aug 2019 12:00"</f>
        <v>04 Aug 2019 12:00</v>
      </c>
      <c r="AO228" t="str">
        <f>"04 Aug 2019 12:00"</f>
        <v>04 Aug 2019 12:00</v>
      </c>
      <c r="AP228" t="str">
        <f>"03 Aug 2019 23:00"</f>
        <v>03 Aug 2019 23:00</v>
      </c>
      <c r="AQ228" t="str">
        <f>"04 Aug 2019 17:00"</f>
        <v>04 Aug 2019 17:00</v>
      </c>
      <c r="AR228" t="str">
        <f t="shared" si="217"/>
        <v>Y</v>
      </c>
      <c r="AS228" t="str">
        <f t="shared" si="217"/>
        <v>Y</v>
      </c>
      <c r="AT228" t="str">
        <f>"N"</f>
        <v>N</v>
      </c>
      <c r="AU228" t="str">
        <f t="shared" si="226"/>
        <v>N</v>
      </c>
      <c r="AV228" t="str">
        <f t="shared" si="226"/>
        <v>N</v>
      </c>
      <c r="AW228" t="str">
        <f>""</f>
        <v/>
      </c>
      <c r="AX228" t="str">
        <f t="shared" si="199"/>
        <v>No</v>
      </c>
      <c r="AY228" t="str">
        <f>"XIN YING KOU (XYK)-088E will phase in SC2 at HKG"</f>
        <v>XIN YING KOU (XYK)-088E will phase in SC2 at HKG</v>
      </c>
      <c r="AZ228" t="s">
        <v>12</v>
      </c>
      <c r="BA228" t="s">
        <v>110</v>
      </c>
      <c r="BB228" t="s">
        <v>110</v>
      </c>
    </row>
    <row r="229" spans="1:54">
      <c r="A229" s="7" t="str">
        <f t="shared" si="200"/>
        <v>SEAPCRF0TU8HS1MA</v>
      </c>
      <c r="B229" s="8">
        <f t="shared" si="201"/>
        <v>43682.708333333336</v>
      </c>
      <c r="C229" t="str">
        <f>"SEAP"</f>
        <v>SEAP</v>
      </c>
      <c r="D229" t="str">
        <f>"CRF"</f>
        <v>CRF</v>
      </c>
      <c r="E229" t="str">
        <f>"CMA CGM ORFEO"</f>
        <v>CMA CGM ORFEO</v>
      </c>
      <c r="F229" t="str">
        <f>"CMA CGM"</f>
        <v>CMA CGM</v>
      </c>
      <c r="G229" t="str">
        <f t="shared" si="196"/>
        <v>OOCL</v>
      </c>
      <c r="H229" t="str">
        <f>"PSW3,USEC3"</f>
        <v>PSW3,USEC3</v>
      </c>
      <c r="I229" t="str">
        <f>"455"</f>
        <v>455</v>
      </c>
      <c r="J229" t="str">
        <f>"W"</f>
        <v>W</v>
      </c>
      <c r="K229" t="str">
        <f>"3"</f>
        <v>3</v>
      </c>
      <c r="L229" t="str">
        <f t="shared" si="229"/>
        <v>HKG02</v>
      </c>
      <c r="M229" t="str">
        <f t="shared" si="230"/>
        <v>HIT - Hongkong International Terminals</v>
      </c>
      <c r="N229" t="str">
        <f t="shared" si="197"/>
        <v>HKG</v>
      </c>
      <c r="O229" t="str">
        <f t="shared" si="227"/>
        <v>1</v>
      </c>
      <c r="P229" t="str">
        <f>"DFPG2"</f>
        <v>DFPG2</v>
      </c>
      <c r="Q229" t="str">
        <f>"0TU6KW1MA"</f>
        <v>0TU6KW1MA</v>
      </c>
      <c r="R229" t="str">
        <f>"0TU8HS1MA"</f>
        <v>0TU8HS1MA</v>
      </c>
      <c r="S229" t="str">
        <f>"ACT"</f>
        <v>ACT</v>
      </c>
      <c r="T229" t="str">
        <f>"06 Aug 2019 08:00"</f>
        <v>06 Aug 2019 08:00</v>
      </c>
      <c r="U229" t="str">
        <f>"07 Aug 2019 03:00"</f>
        <v>07 Aug 2019 03:00</v>
      </c>
      <c r="V229" t="str">
        <f>"19h"</f>
        <v>19h</v>
      </c>
      <c r="W229" t="str">
        <f>"06 Aug 2019 08:00"</f>
        <v>06 Aug 2019 08:00</v>
      </c>
      <c r="X229" t="str">
        <f>""</f>
        <v/>
      </c>
      <c r="Y229" t="str">
        <f>"07 Aug 2019 03:00"</f>
        <v>07 Aug 2019 03:00</v>
      </c>
      <c r="Z229" t="str">
        <f>""</f>
        <v/>
      </c>
      <c r="AA229" t="str">
        <f>""</f>
        <v/>
      </c>
      <c r="AB229" t="str">
        <f t="shared" si="198"/>
        <v>NN</v>
      </c>
      <c r="AC229" t="str">
        <f t="shared" si="235"/>
        <v>LL</v>
      </c>
      <c r="AD229" t="str">
        <f t="shared" si="236"/>
        <v>0</v>
      </c>
      <c r="AE229" t="str">
        <f t="shared" si="236"/>
        <v>0</v>
      </c>
      <c r="AF229" t="str">
        <f t="shared" ref="AF229:AJ230" si="237">"07 Aug 2019 08:00"</f>
        <v>07 Aug 2019 08:00</v>
      </c>
      <c r="AG229" t="str">
        <f t="shared" si="237"/>
        <v>07 Aug 2019 08:00</v>
      </c>
      <c r="AH229" t="str">
        <f t="shared" si="237"/>
        <v>07 Aug 2019 08:00</v>
      </c>
      <c r="AI229" t="str">
        <f t="shared" si="237"/>
        <v>07 Aug 2019 08:00</v>
      </c>
      <c r="AJ229" t="str">
        <f t="shared" si="237"/>
        <v>07 Aug 2019 08:00</v>
      </c>
      <c r="AK229" t="str">
        <f t="shared" ref="AK229:AP230" si="238">"05 Aug 2019 17:00"</f>
        <v>05 Aug 2019 17:00</v>
      </c>
      <c r="AL229" t="str">
        <f t="shared" si="238"/>
        <v>05 Aug 2019 17:00</v>
      </c>
      <c r="AM229" t="str">
        <f t="shared" si="238"/>
        <v>05 Aug 2019 17:00</v>
      </c>
      <c r="AN229" t="str">
        <f t="shared" si="238"/>
        <v>05 Aug 2019 17:00</v>
      </c>
      <c r="AO229" t="str">
        <f t="shared" si="238"/>
        <v>05 Aug 2019 17:00</v>
      </c>
      <c r="AP229" t="str">
        <f t="shared" si="238"/>
        <v>05 Aug 2019 17:00</v>
      </c>
      <c r="AQ229" t="str">
        <f>"07 Aug 2019 04:00"</f>
        <v>07 Aug 2019 04:00</v>
      </c>
      <c r="AR229" t="str">
        <f t="shared" si="217"/>
        <v>Y</v>
      </c>
      <c r="AS229" t="str">
        <f t="shared" si="217"/>
        <v>Y</v>
      </c>
      <c r="AT229" t="str">
        <f t="shared" si="217"/>
        <v>Y</v>
      </c>
      <c r="AU229" t="str">
        <f t="shared" si="226"/>
        <v>N</v>
      </c>
      <c r="AV229" t="str">
        <f t="shared" si="226"/>
        <v>N</v>
      </c>
      <c r="AW229" t="str">
        <f>""</f>
        <v/>
      </c>
      <c r="AX229" t="str">
        <f t="shared" si="199"/>
        <v>No</v>
      </c>
      <c r="AY229" t="str">
        <f>""</f>
        <v/>
      </c>
      <c r="AZ229" t="s">
        <v>12</v>
      </c>
      <c r="BA229" t="s">
        <v>110</v>
      </c>
      <c r="BB229" t="s">
        <v>110</v>
      </c>
    </row>
    <row r="230" spans="1:54">
      <c r="A230" s="7" t="str">
        <f t="shared" si="200"/>
        <v>SEAPCRF0TU8HS1MA</v>
      </c>
      <c r="B230" s="8">
        <f t="shared" si="201"/>
        <v>43682.708333333336</v>
      </c>
      <c r="C230" t="str">
        <f>"SEAP"</f>
        <v>SEAP</v>
      </c>
      <c r="D230" t="str">
        <f>"CRF"</f>
        <v>CRF</v>
      </c>
      <c r="E230" t="str">
        <f>"CMA CGM ORFEO"</f>
        <v>CMA CGM ORFEO</v>
      </c>
      <c r="F230" t="str">
        <f>"CMA CGM"</f>
        <v>CMA CGM</v>
      </c>
      <c r="G230" t="str">
        <f t="shared" si="196"/>
        <v>OOCL</v>
      </c>
      <c r="H230" t="str">
        <f>"PSW3,USEC3"</f>
        <v>PSW3,USEC3</v>
      </c>
      <c r="I230" t="str">
        <f>"456"</f>
        <v>456</v>
      </c>
      <c r="J230" t="str">
        <f>"S"</f>
        <v>S</v>
      </c>
      <c r="K230" t="str">
        <f>"1"</f>
        <v>1</v>
      </c>
      <c r="L230" t="str">
        <f t="shared" si="229"/>
        <v>HKG02</v>
      </c>
      <c r="M230" t="str">
        <f t="shared" si="230"/>
        <v>HIT - Hongkong International Terminals</v>
      </c>
      <c r="N230" t="str">
        <f t="shared" si="197"/>
        <v>HKG</v>
      </c>
      <c r="O230" t="str">
        <f t="shared" si="227"/>
        <v>1</v>
      </c>
      <c r="P230" t="str">
        <f>"DFPG2"</f>
        <v>DFPG2</v>
      </c>
      <c r="Q230" t="str">
        <f>"0TU6KW1MA"</f>
        <v>0TU6KW1MA</v>
      </c>
      <c r="R230" t="str">
        <f>"0TU8HS1MA"</f>
        <v>0TU8HS1MA</v>
      </c>
      <c r="S230" t="str">
        <f>"ACT"</f>
        <v>ACT</v>
      </c>
      <c r="T230" t="str">
        <f>"06 Aug 2019 08:00"</f>
        <v>06 Aug 2019 08:00</v>
      </c>
      <c r="U230" t="str">
        <f>"07 Aug 2019 03:00"</f>
        <v>07 Aug 2019 03:00</v>
      </c>
      <c r="V230" t="str">
        <f>"19h"</f>
        <v>19h</v>
      </c>
      <c r="W230" t="str">
        <f>"06 Aug 2019 08:00"</f>
        <v>06 Aug 2019 08:00</v>
      </c>
      <c r="X230" t="str">
        <f>""</f>
        <v/>
      </c>
      <c r="Y230" t="str">
        <f>"07 Aug 2019 03:00"</f>
        <v>07 Aug 2019 03:00</v>
      </c>
      <c r="Z230" t="str">
        <f>""</f>
        <v/>
      </c>
      <c r="AA230" t="str">
        <f>""</f>
        <v/>
      </c>
      <c r="AB230" t="str">
        <f t="shared" si="198"/>
        <v>NN</v>
      </c>
      <c r="AC230" t="str">
        <f t="shared" si="235"/>
        <v>LL</v>
      </c>
      <c r="AD230" t="str">
        <f t="shared" si="236"/>
        <v>0</v>
      </c>
      <c r="AE230" t="str">
        <f t="shared" si="236"/>
        <v>0</v>
      </c>
      <c r="AF230" t="str">
        <f t="shared" si="237"/>
        <v>07 Aug 2019 08:00</v>
      </c>
      <c r="AG230" t="str">
        <f t="shared" si="237"/>
        <v>07 Aug 2019 08:00</v>
      </c>
      <c r="AH230" t="str">
        <f t="shared" si="237"/>
        <v>07 Aug 2019 08:00</v>
      </c>
      <c r="AI230" t="str">
        <f t="shared" si="237"/>
        <v>07 Aug 2019 08:00</v>
      </c>
      <c r="AJ230" t="str">
        <f t="shared" si="237"/>
        <v>07 Aug 2019 08:00</v>
      </c>
      <c r="AK230" t="str">
        <f t="shared" si="238"/>
        <v>05 Aug 2019 17:00</v>
      </c>
      <c r="AL230" t="str">
        <f t="shared" si="238"/>
        <v>05 Aug 2019 17:00</v>
      </c>
      <c r="AM230" t="str">
        <f t="shared" si="238"/>
        <v>05 Aug 2019 17:00</v>
      </c>
      <c r="AN230" t="str">
        <f t="shared" si="238"/>
        <v>05 Aug 2019 17:00</v>
      </c>
      <c r="AO230" t="str">
        <f t="shared" si="238"/>
        <v>05 Aug 2019 17:00</v>
      </c>
      <c r="AP230" t="str">
        <f t="shared" si="238"/>
        <v>05 Aug 2019 17:00</v>
      </c>
      <c r="AQ230" t="str">
        <f>"07 Aug 2019 04:00"</f>
        <v>07 Aug 2019 04:00</v>
      </c>
      <c r="AR230" t="str">
        <f t="shared" si="217"/>
        <v>Y</v>
      </c>
      <c r="AS230" t="str">
        <f t="shared" si="217"/>
        <v>Y</v>
      </c>
      <c r="AT230" t="str">
        <f t="shared" si="217"/>
        <v>Y</v>
      </c>
      <c r="AU230" t="str">
        <f t="shared" si="226"/>
        <v>N</v>
      </c>
      <c r="AV230" t="str">
        <f t="shared" si="226"/>
        <v>N</v>
      </c>
      <c r="AW230" t="str">
        <f>""</f>
        <v/>
      </c>
      <c r="AX230" t="str">
        <f t="shared" si="199"/>
        <v>No</v>
      </c>
      <c r="AY230" t="str">
        <f>""</f>
        <v/>
      </c>
      <c r="AZ230" t="s">
        <v>12</v>
      </c>
      <c r="BA230" t="s">
        <v>110</v>
      </c>
      <c r="BB230" t="s">
        <v>110</v>
      </c>
    </row>
    <row r="231" spans="1:54">
      <c r="A231" s="7" t="str">
        <f t="shared" si="200"/>
        <v>TLA1VNK1330-025E</v>
      </c>
      <c r="B231" s="8">
        <f t="shared" si="201"/>
        <v>43681.625</v>
      </c>
      <c r="C231" t="str">
        <f>"TLA1"</f>
        <v>TLA1</v>
      </c>
      <c r="D231" t="str">
        <f>"VNK"</f>
        <v>VNK</v>
      </c>
      <c r="E231" t="str">
        <f>"VALENCE"</f>
        <v>VALENCE</v>
      </c>
      <c r="F231" t="str">
        <f>"EMC"</f>
        <v>EMC</v>
      </c>
      <c r="G231" t="str">
        <f t="shared" si="196"/>
        <v>OOCL</v>
      </c>
      <c r="H231" t="str">
        <f>""</f>
        <v/>
      </c>
      <c r="I231" t="str">
        <f>"028"</f>
        <v>028</v>
      </c>
      <c r="J231" t="str">
        <f>"E"</f>
        <v>E</v>
      </c>
      <c r="K231" t="str">
        <f>"8"</f>
        <v>8</v>
      </c>
      <c r="L231" t="str">
        <f t="shared" si="229"/>
        <v>HKG02</v>
      </c>
      <c r="M231" t="str">
        <f t="shared" si="230"/>
        <v>HIT - Hongkong International Terminals</v>
      </c>
      <c r="N231" t="str">
        <f t="shared" si="197"/>
        <v>HKG</v>
      </c>
      <c r="O231" t="str">
        <f t="shared" si="227"/>
        <v>1</v>
      </c>
      <c r="P231" t="str">
        <f>"9HA3398"</f>
        <v>9HA3398</v>
      </c>
      <c r="Q231" t="str">
        <f>"1330-025E"</f>
        <v>1330-025E</v>
      </c>
      <c r="R231" t="str">
        <f>"1330-025E"</f>
        <v>1330-025E</v>
      </c>
      <c r="S231" t="str">
        <f>""</f>
        <v/>
      </c>
      <c r="T231" t="str">
        <f>"06 Aug 2019 10:00"</f>
        <v>06 Aug 2019 10:00</v>
      </c>
      <c r="U231" t="str">
        <f>"07 Aug 2019 02:00"</f>
        <v>07 Aug 2019 02:00</v>
      </c>
      <c r="V231" t="str">
        <f>"16h"</f>
        <v>16h</v>
      </c>
      <c r="W231" t="str">
        <f>"06 Aug 2019 10:00"</f>
        <v>06 Aug 2019 10:00</v>
      </c>
      <c r="X231" t="str">
        <f>""</f>
        <v/>
      </c>
      <c r="Y231" t="str">
        <f>"07 Aug 2019 02:00"</f>
        <v>07 Aug 2019 02:00</v>
      </c>
      <c r="Z231" t="str">
        <f>""</f>
        <v/>
      </c>
      <c r="AA231" t="str">
        <f>""</f>
        <v/>
      </c>
      <c r="AB231" t="str">
        <f t="shared" si="198"/>
        <v>NN</v>
      </c>
      <c r="AC231" t="str">
        <f t="shared" si="235"/>
        <v>LL</v>
      </c>
      <c r="AD231" t="str">
        <f t="shared" si="236"/>
        <v>0</v>
      </c>
      <c r="AE231" t="str">
        <f t="shared" si="236"/>
        <v>0</v>
      </c>
      <c r="AF231" t="str">
        <f>"07 Aug 2019 03:00"</f>
        <v>07 Aug 2019 03:00</v>
      </c>
      <c r="AG231" t="str">
        <f>"07 Aug 2019 03:00"</f>
        <v>07 Aug 2019 03:00</v>
      </c>
      <c r="AH231" t="str">
        <f>"07 Aug 2019 03:00"</f>
        <v>07 Aug 2019 03:00</v>
      </c>
      <c r="AI231" t="str">
        <f>"07 Aug 2019 03:00"</f>
        <v>07 Aug 2019 03:00</v>
      </c>
      <c r="AJ231" t="str">
        <f>"07 Aug 2019 03:00"</f>
        <v>07 Aug 2019 03:00</v>
      </c>
      <c r="AK231" t="str">
        <f>"04 Aug 2019 17:00"</f>
        <v>04 Aug 2019 17:00</v>
      </c>
      <c r="AL231" t="str">
        <f>"04 Aug 2019 17:00"</f>
        <v>04 Aug 2019 17:00</v>
      </c>
      <c r="AM231" t="str">
        <f>"04 Aug 2019 17:00"</f>
        <v>04 Aug 2019 17:00</v>
      </c>
      <c r="AN231" t="str">
        <f>"04 Aug 2019 17:00"</f>
        <v>04 Aug 2019 17:00</v>
      </c>
      <c r="AO231" t="str">
        <f>"04 Aug 2019 17:00"</f>
        <v>04 Aug 2019 17:00</v>
      </c>
      <c r="AP231" t="str">
        <f>"04 Aug 2019 15:00"</f>
        <v>04 Aug 2019 15:00</v>
      </c>
      <c r="AQ231" t="str">
        <f>"07 Aug 2019 02:00"</f>
        <v>07 Aug 2019 02:00</v>
      </c>
      <c r="AR231" t="str">
        <f t="shared" si="217"/>
        <v>Y</v>
      </c>
      <c r="AS231" t="str">
        <f t="shared" si="217"/>
        <v>Y</v>
      </c>
      <c r="AT231" t="str">
        <f t="shared" si="217"/>
        <v>Y</v>
      </c>
      <c r="AU231" t="str">
        <f t="shared" si="226"/>
        <v>N</v>
      </c>
      <c r="AV231" t="str">
        <f t="shared" si="226"/>
        <v>N</v>
      </c>
      <c r="AW231" t="str">
        <f>""</f>
        <v/>
      </c>
      <c r="AX231" t="str">
        <f t="shared" si="199"/>
        <v>No</v>
      </c>
      <c r="AY231" t="str">
        <f>""</f>
        <v/>
      </c>
      <c r="AZ231" t="s">
        <v>12</v>
      </c>
      <c r="BA231" t="s">
        <v>110</v>
      </c>
      <c r="BB231" t="s">
        <v>110</v>
      </c>
    </row>
    <row r="232" spans="1:54">
      <c r="A232" s="7" t="str">
        <f t="shared" si="200"/>
        <v>TLP2MMK0JX37E1PL</v>
      </c>
      <c r="B232" s="8">
        <f t="shared" si="201"/>
        <v>43678.5</v>
      </c>
      <c r="C232" t="str">
        <f>"TLP2"</f>
        <v>TLP2</v>
      </c>
      <c r="D232" t="str">
        <f>"MMK"</f>
        <v>MMK</v>
      </c>
      <c r="E232" t="str">
        <f>"CMA CGM MEKONG"</f>
        <v>CMA CGM MEKONG</v>
      </c>
      <c r="F232" t="str">
        <f>"APL"</f>
        <v>APL</v>
      </c>
      <c r="G232" t="str">
        <f t="shared" si="196"/>
        <v>OOCL</v>
      </c>
      <c r="H232" t="str">
        <f>""</f>
        <v/>
      </c>
      <c r="I232" t="str">
        <f>"020"</f>
        <v>020</v>
      </c>
      <c r="J232" t="str">
        <f>"E"</f>
        <v>E</v>
      </c>
      <c r="K232" t="str">
        <f>"2"</f>
        <v>2</v>
      </c>
      <c r="L232" t="str">
        <f t="shared" si="229"/>
        <v>HKG02</v>
      </c>
      <c r="M232" t="str">
        <f t="shared" si="230"/>
        <v>HIT - Hongkong International Terminals</v>
      </c>
      <c r="N232" t="str">
        <f t="shared" si="197"/>
        <v>HKG</v>
      </c>
      <c r="O232" t="str">
        <f t="shared" si="227"/>
        <v>1</v>
      </c>
      <c r="P232" t="str">
        <f>"OXZT2"</f>
        <v>OXZT2</v>
      </c>
      <c r="Q232" t="str">
        <f>"0JX37E1PL"</f>
        <v>0JX37E1PL</v>
      </c>
      <c r="R232" t="str">
        <f>"0JX37E1PL"</f>
        <v>0JX37E1PL</v>
      </c>
      <c r="S232" t="str">
        <f>""</f>
        <v/>
      </c>
      <c r="T232" t="str">
        <f>"02 Aug 2019 04:00"</f>
        <v>02 Aug 2019 04:00</v>
      </c>
      <c r="U232" t="str">
        <f>"03 Aug 2019 01:00"</f>
        <v>03 Aug 2019 01:00</v>
      </c>
      <c r="V232" t="str">
        <f>"21h"</f>
        <v>21h</v>
      </c>
      <c r="W232" t="str">
        <f>"02 Aug 2019 04:00"</f>
        <v>02 Aug 2019 04:00</v>
      </c>
      <c r="X232" t="str">
        <f>""</f>
        <v/>
      </c>
      <c r="Y232" t="str">
        <f>"03 Aug 2019 01:00"</f>
        <v>03 Aug 2019 01:00</v>
      </c>
      <c r="Z232" t="str">
        <f>""</f>
        <v/>
      </c>
      <c r="AA232" t="str">
        <f>""</f>
        <v/>
      </c>
      <c r="AB232" t="str">
        <f t="shared" si="198"/>
        <v>NN</v>
      </c>
      <c r="AC232" t="str">
        <f t="shared" si="235"/>
        <v>LL</v>
      </c>
      <c r="AD232" t="str">
        <f t="shared" si="236"/>
        <v>0</v>
      </c>
      <c r="AE232" t="str">
        <f t="shared" si="236"/>
        <v>0</v>
      </c>
      <c r="AF232" t="str">
        <f>"03 Aug 2019 02:00"</f>
        <v>03 Aug 2019 02:00</v>
      </c>
      <c r="AG232" t="str">
        <f>"03 Aug 2019 02:00"</f>
        <v>03 Aug 2019 02:00</v>
      </c>
      <c r="AH232" t="str">
        <f>"03 Aug 2019 02:00"</f>
        <v>03 Aug 2019 02:00</v>
      </c>
      <c r="AI232" t="str">
        <f>"03 Aug 2019 02:00"</f>
        <v>03 Aug 2019 02:00</v>
      </c>
      <c r="AJ232" t="str">
        <f>"03 Aug 2019 02:00"</f>
        <v>03 Aug 2019 02:00</v>
      </c>
      <c r="AK232" t="str">
        <f t="shared" ref="AK232:AP232" si="239">"01 Aug 2019 12:00"</f>
        <v>01 Aug 2019 12:00</v>
      </c>
      <c r="AL232" t="str">
        <f t="shared" si="239"/>
        <v>01 Aug 2019 12:00</v>
      </c>
      <c r="AM232" t="str">
        <f t="shared" si="239"/>
        <v>01 Aug 2019 12:00</v>
      </c>
      <c r="AN232" t="str">
        <f t="shared" si="239"/>
        <v>01 Aug 2019 12:00</v>
      </c>
      <c r="AO232" t="str">
        <f t="shared" si="239"/>
        <v>01 Aug 2019 12:00</v>
      </c>
      <c r="AP232" t="str">
        <f t="shared" si="239"/>
        <v>01 Aug 2019 12:00</v>
      </c>
      <c r="AQ232" t="str">
        <f>"03 Aug 2019 02:00"</f>
        <v>03 Aug 2019 02:00</v>
      </c>
      <c r="AR232" t="str">
        <f t="shared" si="217"/>
        <v>Y</v>
      </c>
      <c r="AS232" t="str">
        <f t="shared" si="217"/>
        <v>Y</v>
      </c>
      <c r="AT232" t="str">
        <f t="shared" si="217"/>
        <v>Y</v>
      </c>
      <c r="AU232" t="str">
        <f t="shared" si="226"/>
        <v>N</v>
      </c>
      <c r="AV232" t="str">
        <f t="shared" si="226"/>
        <v>N</v>
      </c>
      <c r="AW232" t="str">
        <f>""</f>
        <v/>
      </c>
      <c r="AX232" t="str">
        <f t="shared" si="199"/>
        <v>No</v>
      </c>
      <c r="AY232" t="str">
        <f>""</f>
        <v/>
      </c>
      <c r="AZ232" t="s">
        <v>12</v>
      </c>
      <c r="BA232" t="s">
        <v>110</v>
      </c>
      <c r="BB232" t="s">
        <v>110</v>
      </c>
    </row>
    <row r="233" spans="1:54">
      <c r="A233" s="7" t="str">
        <f t="shared" si="200"/>
        <v>VCSCLC025E</v>
      </c>
      <c r="B233" s="8">
        <f t="shared" si="201"/>
        <v>43678.958333333336</v>
      </c>
      <c r="C233" t="str">
        <f>"VCS"</f>
        <v>VCS</v>
      </c>
      <c r="D233" t="str">
        <f>"CLC"</f>
        <v>CLC</v>
      </c>
      <c r="E233" t="str">
        <f>"CSCL SUMMER"</f>
        <v>CSCL SUMMER</v>
      </c>
      <c r="F233" t="str">
        <f>"COSCO"</f>
        <v>COSCO</v>
      </c>
      <c r="G233" t="str">
        <f t="shared" si="196"/>
        <v>OOCL</v>
      </c>
      <c r="H233" t="str">
        <f>""</f>
        <v/>
      </c>
      <c r="I233" t="str">
        <f>"025"</f>
        <v>025</v>
      </c>
      <c r="J233" t="str">
        <f>"E"</f>
        <v>E</v>
      </c>
      <c r="K233" t="str">
        <f>"3"</f>
        <v>3</v>
      </c>
      <c r="L233" t="str">
        <f t="shared" si="229"/>
        <v>HKG02</v>
      </c>
      <c r="M233" t="str">
        <f t="shared" si="230"/>
        <v>HIT - Hongkong International Terminals</v>
      </c>
      <c r="N233" t="str">
        <f t="shared" si="197"/>
        <v>HKG</v>
      </c>
      <c r="O233" t="str">
        <f t="shared" si="227"/>
        <v>1</v>
      </c>
      <c r="P233" t="str">
        <f>"VRMZ7"</f>
        <v>VRMZ7</v>
      </c>
      <c r="Q233" t="str">
        <f>"025E"</f>
        <v>025E</v>
      </c>
      <c r="R233" t="str">
        <f>"025E"</f>
        <v>025E</v>
      </c>
      <c r="S233" t="str">
        <f>"CHT"</f>
        <v>CHT</v>
      </c>
      <c r="T233" t="str">
        <f>"02 Aug 2019 14:00"</f>
        <v>02 Aug 2019 14:00</v>
      </c>
      <c r="U233" t="str">
        <f>"03 Aug 2019 10:00"</f>
        <v>03 Aug 2019 10:00</v>
      </c>
      <c r="V233" t="str">
        <f>"20h"</f>
        <v>20h</v>
      </c>
      <c r="W233" t="str">
        <f>"02 Aug 2019 14:00"</f>
        <v>02 Aug 2019 14:00</v>
      </c>
      <c r="X233" t="str">
        <f>""</f>
        <v/>
      </c>
      <c r="Y233" t="str">
        <f>"03 Aug 2019 10:00"</f>
        <v>03 Aug 2019 10:00</v>
      </c>
      <c r="Z233" t="str">
        <f>""</f>
        <v/>
      </c>
      <c r="AA233" t="str">
        <f>""</f>
        <v/>
      </c>
      <c r="AB233" t="str">
        <f t="shared" si="198"/>
        <v>NN</v>
      </c>
      <c r="AC233" t="str">
        <f t="shared" si="235"/>
        <v>LL</v>
      </c>
      <c r="AD233" t="str">
        <f t="shared" si="236"/>
        <v>0</v>
      </c>
      <c r="AE233" t="str">
        <f t="shared" si="236"/>
        <v>0</v>
      </c>
      <c r="AF233" t="str">
        <f>"03 Aug 2019 11:00"</f>
        <v>03 Aug 2019 11:00</v>
      </c>
      <c r="AG233" t="str">
        <f>"03 Aug 2019 11:00"</f>
        <v>03 Aug 2019 11:00</v>
      </c>
      <c r="AH233" t="str">
        <f>"03 Aug 2019 11:00"</f>
        <v>03 Aug 2019 11:00</v>
      </c>
      <c r="AI233" t="str">
        <f>"03 Aug 2019 11:00"</f>
        <v>03 Aug 2019 11:00</v>
      </c>
      <c r="AJ233" t="str">
        <f>"03 Aug 2019 11:00"</f>
        <v>03 Aug 2019 11:00</v>
      </c>
      <c r="AK233" t="str">
        <f t="shared" ref="AK233:AP233" si="240">"01 Aug 2019 23:00"</f>
        <v>01 Aug 2019 23:00</v>
      </c>
      <c r="AL233" t="str">
        <f t="shared" si="240"/>
        <v>01 Aug 2019 23:00</v>
      </c>
      <c r="AM233" t="str">
        <f t="shared" si="240"/>
        <v>01 Aug 2019 23:00</v>
      </c>
      <c r="AN233" t="str">
        <f t="shared" si="240"/>
        <v>01 Aug 2019 23:00</v>
      </c>
      <c r="AO233" t="str">
        <f t="shared" si="240"/>
        <v>01 Aug 2019 23:00</v>
      </c>
      <c r="AP233" t="str">
        <f t="shared" si="240"/>
        <v>01 Aug 2019 23:00</v>
      </c>
      <c r="AQ233" t="str">
        <f>"03 Aug 2019 11:00"</f>
        <v>03 Aug 2019 11:00</v>
      </c>
      <c r="AR233" t="str">
        <f t="shared" si="217"/>
        <v>Y</v>
      </c>
      <c r="AS233" t="str">
        <f t="shared" si="217"/>
        <v>Y</v>
      </c>
      <c r="AT233" t="str">
        <f t="shared" si="217"/>
        <v>Y</v>
      </c>
      <c r="AU233" t="str">
        <f t="shared" si="226"/>
        <v>N</v>
      </c>
      <c r="AV233" t="str">
        <f t="shared" si="226"/>
        <v>N</v>
      </c>
      <c r="AW233" t="str">
        <f>""</f>
        <v/>
      </c>
      <c r="AX233" t="str">
        <f t="shared" si="199"/>
        <v>No</v>
      </c>
      <c r="AY233" t="str">
        <f>""</f>
        <v/>
      </c>
      <c r="AZ233" t="s">
        <v>12</v>
      </c>
      <c r="BA233" t="s">
        <v>110</v>
      </c>
      <c r="BB233" t="s">
        <v>110</v>
      </c>
    </row>
    <row r="234" spans="1:54">
      <c r="A234" s="7" t="str">
        <f t="shared" si="200"/>
        <v>WM1TCC060E</v>
      </c>
      <c r="B234" s="8">
        <f t="shared" si="201"/>
        <v>43677.958333333336</v>
      </c>
      <c r="C234" t="str">
        <f>"WM1"</f>
        <v>WM1</v>
      </c>
      <c r="D234" t="str">
        <f>"TCC"</f>
        <v>TCC</v>
      </c>
      <c r="E234" t="str">
        <f>"CSCL STAR"</f>
        <v>CSCL STAR</v>
      </c>
      <c r="F234" t="str">
        <f>"COSCO"</f>
        <v>COSCO</v>
      </c>
      <c r="G234" t="str">
        <f t="shared" si="196"/>
        <v>OOCL</v>
      </c>
      <c r="H234" t="str">
        <f>"MED1"</f>
        <v>MED1</v>
      </c>
      <c r="I234" t="str">
        <f>"060"</f>
        <v>060</v>
      </c>
      <c r="J234" t="str">
        <f>"E"</f>
        <v>E</v>
      </c>
      <c r="K234" t="str">
        <f>"9"</f>
        <v>9</v>
      </c>
      <c r="L234" t="str">
        <f t="shared" si="229"/>
        <v>HKG02</v>
      </c>
      <c r="M234" t="str">
        <f t="shared" si="230"/>
        <v>HIT - Hongkong International Terminals</v>
      </c>
      <c r="N234" t="str">
        <f t="shared" si="197"/>
        <v>HKG</v>
      </c>
      <c r="O234" t="str">
        <f t="shared" si="227"/>
        <v>1</v>
      </c>
      <c r="P234" t="str">
        <f>"VRHM7"</f>
        <v>VRHM7</v>
      </c>
      <c r="Q234" t="str">
        <f>"060E"</f>
        <v>060E</v>
      </c>
      <c r="R234" t="str">
        <f>"060E"</f>
        <v>060E</v>
      </c>
      <c r="S234" t="str">
        <f>"CHT"</f>
        <v>CHT</v>
      </c>
      <c r="T234" t="str">
        <f>"01 Aug 2019 22:00"</f>
        <v>01 Aug 2019 22:00</v>
      </c>
      <c r="U234" t="str">
        <f>"02 Aug 2019 18:00"</f>
        <v>02 Aug 2019 18:00</v>
      </c>
      <c r="V234" t="str">
        <f>"20h"</f>
        <v>20h</v>
      </c>
      <c r="W234" t="str">
        <f>"02 Aug 2019 15:00"</f>
        <v>02 Aug 2019 15:00</v>
      </c>
      <c r="X234" t="str">
        <f>""</f>
        <v/>
      </c>
      <c r="Y234" t="str">
        <f>"03 Aug 2019 05:00"</f>
        <v>03 Aug 2019 05:00</v>
      </c>
      <c r="Z234" t="str">
        <f>""</f>
        <v/>
      </c>
      <c r="AA234" t="str">
        <f>""</f>
        <v/>
      </c>
      <c r="AB234" t="str">
        <f t="shared" si="198"/>
        <v>NN</v>
      </c>
      <c r="AC234" t="str">
        <f>"CC"</f>
        <v>CC</v>
      </c>
      <c r="AD234" t="str">
        <f>"17"</f>
        <v>17</v>
      </c>
      <c r="AE234" t="str">
        <f>"11"</f>
        <v>11</v>
      </c>
      <c r="AF234" t="str">
        <f>"03 Aug 2019 15:00"</f>
        <v>03 Aug 2019 15:00</v>
      </c>
      <c r="AG234" t="str">
        <f>"03 Aug 2019 15:00"</f>
        <v>03 Aug 2019 15:00</v>
      </c>
      <c r="AH234" t="str">
        <f>"03 Aug 2019 15:00"</f>
        <v>03 Aug 2019 15:00</v>
      </c>
      <c r="AI234" t="str">
        <f>"03 Aug 2019 15:00"</f>
        <v>03 Aug 2019 15:00</v>
      </c>
      <c r="AJ234" t="str">
        <f>"03 Aug 2019 15:00"</f>
        <v>03 Aug 2019 15:00</v>
      </c>
      <c r="AK234" t="str">
        <f t="shared" ref="AK234:AP234" si="241">"31 Jul 2019 23:00"</f>
        <v>31 Jul 2019 23:00</v>
      </c>
      <c r="AL234" t="str">
        <f t="shared" si="241"/>
        <v>31 Jul 2019 23:00</v>
      </c>
      <c r="AM234" t="str">
        <f t="shared" si="241"/>
        <v>31 Jul 2019 23:00</v>
      </c>
      <c r="AN234" t="str">
        <f t="shared" si="241"/>
        <v>31 Jul 2019 23:00</v>
      </c>
      <c r="AO234" t="str">
        <f t="shared" si="241"/>
        <v>31 Jul 2019 23:00</v>
      </c>
      <c r="AP234" t="str">
        <f t="shared" si="241"/>
        <v>31 Jul 2019 23:00</v>
      </c>
      <c r="AQ234" t="str">
        <f>"03 Aug 2019 05:00"</f>
        <v>03 Aug 2019 05:00</v>
      </c>
      <c r="AR234" t="str">
        <f t="shared" si="217"/>
        <v>Y</v>
      </c>
      <c r="AS234" t="str">
        <f t="shared" si="217"/>
        <v>Y</v>
      </c>
      <c r="AT234" t="str">
        <f t="shared" si="217"/>
        <v>Y</v>
      </c>
      <c r="AU234" t="str">
        <f t="shared" si="226"/>
        <v>N</v>
      </c>
      <c r="AV234" t="str">
        <f t="shared" si="226"/>
        <v>N</v>
      </c>
      <c r="AW234" t="str">
        <f>"Delayed : Previous Port Delayed"</f>
        <v>Delayed : Previous Port Delayed</v>
      </c>
      <c r="AX234" t="str">
        <f t="shared" si="199"/>
        <v>No</v>
      </c>
      <c r="AY234" t="str">
        <f>""</f>
        <v/>
      </c>
      <c r="AZ234" t="s">
        <v>12</v>
      </c>
      <c r="BA234" t="s">
        <v>110</v>
      </c>
      <c r="BB234" t="s">
        <v>110</v>
      </c>
    </row>
    <row r="235" spans="1:54">
      <c r="A235" s="7" t="str">
        <f t="shared" si="200"/>
        <v>WM1TPT0388-012E</v>
      </c>
      <c r="B235" s="8">
        <f t="shared" si="201"/>
        <v>43670.958333333336</v>
      </c>
      <c r="C235" t="str">
        <f>"WM1"</f>
        <v>WM1</v>
      </c>
      <c r="D235" t="str">
        <f>"TPT"</f>
        <v>TPT</v>
      </c>
      <c r="E235" t="str">
        <f>"TAMPA TRIUMPH"</f>
        <v>TAMPA TRIUMPH</v>
      </c>
      <c r="F235" t="str">
        <f>"EMC"</f>
        <v>EMC</v>
      </c>
      <c r="G235" t="str">
        <f t="shared" si="196"/>
        <v>OOCL</v>
      </c>
      <c r="H235" t="str">
        <f>"MED1"</f>
        <v>MED1</v>
      </c>
      <c r="I235" t="str">
        <f>"012"</f>
        <v>012</v>
      </c>
      <c r="J235" t="str">
        <f>"E"</f>
        <v>E</v>
      </c>
      <c r="K235" t="str">
        <f>"9"</f>
        <v>9</v>
      </c>
      <c r="L235" t="str">
        <f t="shared" si="229"/>
        <v>HKG02</v>
      </c>
      <c r="M235" t="str">
        <f t="shared" si="230"/>
        <v>HIT - Hongkong International Terminals</v>
      </c>
      <c r="N235" t="str">
        <f t="shared" si="197"/>
        <v>HKG</v>
      </c>
      <c r="O235" t="str">
        <f t="shared" si="227"/>
        <v>1</v>
      </c>
      <c r="P235" t="str">
        <f>"3EJB3"</f>
        <v>3EJB3</v>
      </c>
      <c r="Q235" t="str">
        <f>"0388-012E"</f>
        <v>0388-012E</v>
      </c>
      <c r="R235" t="str">
        <f>"0388-012E"</f>
        <v>0388-012E</v>
      </c>
      <c r="S235" t="str">
        <f>"CHT"</f>
        <v>CHT</v>
      </c>
      <c r="T235" t="str">
        <f>"25 Jul 2019 22:00"</f>
        <v>25 Jul 2019 22:00</v>
      </c>
      <c r="U235" t="str">
        <f>"26 Jul 2019 18:00"</f>
        <v>26 Jul 2019 18:00</v>
      </c>
      <c r="V235" t="str">
        <f>"20h"</f>
        <v>20h</v>
      </c>
      <c r="W235" t="str">
        <f>"02 Aug 2019 09:00"</f>
        <v>02 Aug 2019 09:00</v>
      </c>
      <c r="X235" t="str">
        <f>""</f>
        <v/>
      </c>
      <c r="Y235" t="str">
        <f>"03 Aug 2019 15:00"</f>
        <v>03 Aug 2019 15:00</v>
      </c>
      <c r="Z235" t="str">
        <f>""</f>
        <v/>
      </c>
      <c r="AA235" t="str">
        <f>""</f>
        <v/>
      </c>
      <c r="AB235" t="str">
        <f t="shared" si="198"/>
        <v>NN</v>
      </c>
      <c r="AC235" t="str">
        <f>"CC"</f>
        <v>CC</v>
      </c>
      <c r="AD235" t="str">
        <f>"179"</f>
        <v>179</v>
      </c>
      <c r="AE235" t="str">
        <f>"189"</f>
        <v>189</v>
      </c>
      <c r="AF235" t="str">
        <f>"03 Aug 2019 09:00"</f>
        <v>03 Aug 2019 09:00</v>
      </c>
      <c r="AG235" t="str">
        <f>"03 Aug 2019 09:00"</f>
        <v>03 Aug 2019 09:00</v>
      </c>
      <c r="AH235" t="str">
        <f>"03 Aug 2019 09:00"</f>
        <v>03 Aug 2019 09:00</v>
      </c>
      <c r="AI235" t="str">
        <f>"03 Aug 2019 09:00"</f>
        <v>03 Aug 2019 09:00</v>
      </c>
      <c r="AJ235" t="str">
        <f>"03 Aug 2019 09:00"</f>
        <v>03 Aug 2019 09:00</v>
      </c>
      <c r="AK235" t="str">
        <f t="shared" ref="AK235:AP235" si="242">"24 Jul 2019 23:00"</f>
        <v>24 Jul 2019 23:00</v>
      </c>
      <c r="AL235" t="str">
        <f t="shared" si="242"/>
        <v>24 Jul 2019 23:00</v>
      </c>
      <c r="AM235" t="str">
        <f t="shared" si="242"/>
        <v>24 Jul 2019 23:00</v>
      </c>
      <c r="AN235" t="str">
        <f t="shared" si="242"/>
        <v>24 Jul 2019 23:00</v>
      </c>
      <c r="AO235" t="str">
        <f t="shared" si="242"/>
        <v>24 Jul 2019 23:00</v>
      </c>
      <c r="AP235" t="str">
        <f t="shared" si="242"/>
        <v>24 Jul 2019 23:00</v>
      </c>
      <c r="AQ235" t="str">
        <f>"03 Aug 2019 15:00"</f>
        <v>03 Aug 2019 15:00</v>
      </c>
      <c r="AR235" t="str">
        <f t="shared" si="217"/>
        <v>Y</v>
      </c>
      <c r="AS235" t="str">
        <f t="shared" si="217"/>
        <v>Y</v>
      </c>
      <c r="AT235" t="str">
        <f t="shared" si="217"/>
        <v>Y</v>
      </c>
      <c r="AU235" t="str">
        <f t="shared" si="226"/>
        <v>N</v>
      </c>
      <c r="AV235" t="str">
        <f t="shared" si="226"/>
        <v>N</v>
      </c>
      <c r="AW235" t="str">
        <f>""</f>
        <v/>
      </c>
      <c r="AX235" t="str">
        <f t="shared" si="199"/>
        <v>No</v>
      </c>
      <c r="AY235" t="str">
        <f>"TPT-012E phase out WM1 at NIN, replacement TEI-011W, P/O rotation is SIN&gt;HKG&gt;NIN"</f>
        <v>TPT-012E phase out WM1 at NIN, replacement TEI-011W, P/O rotation is SIN&gt;HKG&gt;NIN</v>
      </c>
      <c r="AZ235" t="s">
        <v>12</v>
      </c>
      <c r="BA235" t="s">
        <v>110</v>
      </c>
      <c r="BB235" t="s">
        <v>110</v>
      </c>
    </row>
    <row r="236" spans="1:54">
      <c r="A236" s="7" t="str">
        <f t="shared" si="200"/>
        <v>WM1TEI0398-011W</v>
      </c>
      <c r="B236" s="8">
        <f t="shared" si="201"/>
        <v>43682.958333333336</v>
      </c>
      <c r="C236" t="str">
        <f>"WM1"</f>
        <v>WM1</v>
      </c>
      <c r="D236" t="str">
        <f>"TEI"</f>
        <v>TEI</v>
      </c>
      <c r="E236" t="str">
        <f>"TAIPEI TRIUMPH"</f>
        <v>TAIPEI TRIUMPH</v>
      </c>
      <c r="F236" t="str">
        <f>"EMC"</f>
        <v>EMC</v>
      </c>
      <c r="G236" t="str">
        <f t="shared" si="196"/>
        <v>OOCL</v>
      </c>
      <c r="H236" t="str">
        <f>"MED1"</f>
        <v>MED1</v>
      </c>
      <c r="I236" t="str">
        <f>"011"</f>
        <v>011</v>
      </c>
      <c r="J236" t="str">
        <f>"W"</f>
        <v>W</v>
      </c>
      <c r="K236" t="str">
        <f>"5"</f>
        <v>5</v>
      </c>
      <c r="L236" t="str">
        <f t="shared" si="229"/>
        <v>HKG02</v>
      </c>
      <c r="M236" t="str">
        <f t="shared" si="230"/>
        <v>HIT - Hongkong International Terminals</v>
      </c>
      <c r="N236" t="str">
        <f t="shared" si="197"/>
        <v>HKG</v>
      </c>
      <c r="O236" t="str">
        <f t="shared" si="227"/>
        <v>1</v>
      </c>
      <c r="P236" t="str">
        <f>"9V3478"</f>
        <v>9V3478</v>
      </c>
      <c r="Q236" t="str">
        <f>"0398-011W"</f>
        <v>0398-011W</v>
      </c>
      <c r="R236" t="str">
        <f>"0398-011W"</f>
        <v>0398-011W</v>
      </c>
      <c r="S236" t="str">
        <f>"CHT"</f>
        <v>CHT</v>
      </c>
      <c r="T236" t="str">
        <f>"06 Aug 2019 20:00"</f>
        <v>06 Aug 2019 20:00</v>
      </c>
      <c r="U236" t="str">
        <f>"07 Aug 2019 16:00"</f>
        <v>07 Aug 2019 16:00</v>
      </c>
      <c r="V236" t="str">
        <f>"20h"</f>
        <v>20h</v>
      </c>
      <c r="W236" t="str">
        <f>"06 Aug 2019 17:00"</f>
        <v>06 Aug 2019 17:00</v>
      </c>
      <c r="X236" t="str">
        <f>""</f>
        <v/>
      </c>
      <c r="Y236" t="str">
        <f>"07 Aug 2019 11:00"</f>
        <v>07 Aug 2019 11:00</v>
      </c>
      <c r="Z236" t="str">
        <f>""</f>
        <v/>
      </c>
      <c r="AA236" t="str">
        <f>""</f>
        <v/>
      </c>
      <c r="AB236" t="str">
        <f t="shared" si="198"/>
        <v>NN</v>
      </c>
      <c r="AC236" t="str">
        <f>"CC"</f>
        <v>CC</v>
      </c>
      <c r="AD236" t="str">
        <f>"-3"</f>
        <v>-3</v>
      </c>
      <c r="AE236" t="str">
        <f>"-5"</f>
        <v>-5</v>
      </c>
      <c r="AF236" t="str">
        <f>"07 Aug 2019 17:00"</f>
        <v>07 Aug 2019 17:00</v>
      </c>
      <c r="AG236" t="str">
        <f>"07 Aug 2019 17:00"</f>
        <v>07 Aug 2019 17:00</v>
      </c>
      <c r="AH236" t="str">
        <f>"07 Aug 2019 17:00"</f>
        <v>07 Aug 2019 17:00</v>
      </c>
      <c r="AI236" t="str">
        <f>"07 Aug 2019 17:00"</f>
        <v>07 Aug 2019 17:00</v>
      </c>
      <c r="AJ236" t="str">
        <f>"07 Aug 2019 17:00"</f>
        <v>07 Aug 2019 17:00</v>
      </c>
      <c r="AK236" t="str">
        <f>"06 Aug 2019 12:00"</f>
        <v>06 Aug 2019 12:00</v>
      </c>
      <c r="AL236" t="str">
        <f>"06 Aug 2019 12:00"</f>
        <v>06 Aug 2019 12:00</v>
      </c>
      <c r="AM236" t="str">
        <f>"06 Aug 2019 12:00"</f>
        <v>06 Aug 2019 12:00</v>
      </c>
      <c r="AN236" t="str">
        <f>"06 Aug 2019 12:00"</f>
        <v>06 Aug 2019 12:00</v>
      </c>
      <c r="AO236" t="str">
        <f>"06 Aug 2019 12:00"</f>
        <v>06 Aug 2019 12:00</v>
      </c>
      <c r="AP236" t="str">
        <f>"05 Aug 2019 23:00"</f>
        <v>05 Aug 2019 23:00</v>
      </c>
      <c r="AQ236" t="str">
        <f>"07 Aug 2019 11:00"</f>
        <v>07 Aug 2019 11:00</v>
      </c>
      <c r="AR236" t="str">
        <f t="shared" si="217"/>
        <v>Y</v>
      </c>
      <c r="AS236" t="str">
        <f t="shared" si="217"/>
        <v>Y</v>
      </c>
      <c r="AT236" t="str">
        <f t="shared" si="217"/>
        <v>Y</v>
      </c>
      <c r="AU236" t="str">
        <f t="shared" si="226"/>
        <v>N</v>
      </c>
      <c r="AV236" t="str">
        <f t="shared" si="226"/>
        <v>N</v>
      </c>
      <c r="AW236" t="str">
        <f>""</f>
        <v/>
      </c>
      <c r="AX236" t="str">
        <f t="shared" si="199"/>
        <v>No</v>
      </c>
      <c r="AY236" t="str">
        <f>"TEI-011W slide one week at QIN"</f>
        <v>TEI-011W slide one week at QIN</v>
      </c>
      <c r="AZ236" t="s">
        <v>12</v>
      </c>
      <c r="BA236" t="s">
        <v>110</v>
      </c>
      <c r="BB236" t="s">
        <v>136</v>
      </c>
    </row>
    <row r="237" spans="1:54">
      <c r="AZ237" t="s">
        <v>12</v>
      </c>
      <c r="BA237" t="s">
        <v>110</v>
      </c>
      <c r="BB237" t="s">
        <v>110</v>
      </c>
    </row>
    <row r="238" spans="1:54">
      <c r="AZ238" t="s">
        <v>12</v>
      </c>
      <c r="BA238" t="s">
        <v>110</v>
      </c>
      <c r="BB238" t="s">
        <v>110</v>
      </c>
    </row>
    <row r="239" spans="1:54">
      <c r="AZ239" t="s">
        <v>12</v>
      </c>
      <c r="BA239" t="s">
        <v>110</v>
      </c>
      <c r="BB239" t="s">
        <v>137</v>
      </c>
    </row>
    <row r="240" spans="1:54">
      <c r="AZ240" t="s">
        <v>12</v>
      </c>
      <c r="BA240" t="s">
        <v>110</v>
      </c>
      <c r="BB240" t="s">
        <v>110</v>
      </c>
    </row>
    <row r="241" spans="52:54">
      <c r="AZ241" t="s">
        <v>12</v>
      </c>
      <c r="BA241" t="s">
        <v>110</v>
      </c>
      <c r="BB241" t="s">
        <v>110</v>
      </c>
    </row>
    <row r="242" spans="52:54">
      <c r="AZ242" t="s">
        <v>12</v>
      </c>
      <c r="BA242" t="s">
        <v>110</v>
      </c>
      <c r="BB242" t="s">
        <v>110</v>
      </c>
    </row>
    <row r="243" spans="52:54">
      <c r="AZ243" t="s">
        <v>12</v>
      </c>
      <c r="BA243" t="s">
        <v>110</v>
      </c>
      <c r="BB243" t="s">
        <v>110</v>
      </c>
    </row>
    <row r="244" spans="52:54">
      <c r="AZ244" t="s">
        <v>12</v>
      </c>
      <c r="BA244" t="s">
        <v>110</v>
      </c>
      <c r="BB244" t="s">
        <v>110</v>
      </c>
    </row>
    <row r="245" spans="52:54">
      <c r="AZ245" t="s">
        <v>12</v>
      </c>
      <c r="BA245" t="s">
        <v>110</v>
      </c>
      <c r="BB245" t="s">
        <v>110</v>
      </c>
    </row>
    <row r="246" spans="52:54">
      <c r="AZ246" t="s">
        <v>12</v>
      </c>
      <c r="BA246" t="s">
        <v>110</v>
      </c>
      <c r="BB246" t="s">
        <v>110</v>
      </c>
    </row>
    <row r="247" spans="52:54">
      <c r="AZ247" t="s">
        <v>12</v>
      </c>
      <c r="BA247" t="s">
        <v>110</v>
      </c>
      <c r="BB247" t="s">
        <v>110</v>
      </c>
    </row>
    <row r="248" spans="52:54">
      <c r="AZ248" t="s">
        <v>12</v>
      </c>
      <c r="BA248" t="s">
        <v>110</v>
      </c>
      <c r="BB248" t="s">
        <v>110</v>
      </c>
    </row>
    <row r="249" spans="52:54">
      <c r="AZ249" t="s">
        <v>12</v>
      </c>
      <c r="BA249" t="s">
        <v>110</v>
      </c>
      <c r="BB249" t="s">
        <v>110</v>
      </c>
    </row>
    <row r="250" spans="52:54">
      <c r="AZ250" t="s">
        <v>12</v>
      </c>
      <c r="BA250" t="s">
        <v>110</v>
      </c>
      <c r="BB250" t="s">
        <v>110</v>
      </c>
    </row>
    <row r="251" spans="52:54">
      <c r="AZ251" t="s">
        <v>12</v>
      </c>
      <c r="BA251" t="s">
        <v>110</v>
      </c>
      <c r="BB251" t="s">
        <v>110</v>
      </c>
    </row>
    <row r="252" spans="52:54">
      <c r="AZ252" t="s">
        <v>12</v>
      </c>
      <c r="BA252" t="s">
        <v>110</v>
      </c>
      <c r="BB252" t="s">
        <v>110</v>
      </c>
    </row>
    <row r="253" spans="52:54">
      <c r="AZ253" t="s">
        <v>12</v>
      </c>
      <c r="BA253" t="s">
        <v>110</v>
      </c>
      <c r="BB253" t="s">
        <v>110</v>
      </c>
    </row>
    <row r="254" spans="52:54">
      <c r="AZ254" t="s">
        <v>12</v>
      </c>
      <c r="BA254" t="s">
        <v>110</v>
      </c>
      <c r="BB254" t="s">
        <v>110</v>
      </c>
    </row>
    <row r="255" spans="52:54">
      <c r="AZ255" t="s">
        <v>12</v>
      </c>
      <c r="BA255" t="s">
        <v>110</v>
      </c>
      <c r="BB255" t="s">
        <v>138</v>
      </c>
    </row>
    <row r="256" spans="52:54">
      <c r="AZ256" t="s">
        <v>12</v>
      </c>
      <c r="BA256" t="s">
        <v>110</v>
      </c>
      <c r="BB256" t="s">
        <v>110</v>
      </c>
    </row>
    <row r="257" spans="52:54">
      <c r="AZ257" t="s">
        <v>12</v>
      </c>
      <c r="BA257" t="s">
        <v>110</v>
      </c>
      <c r="BB257" t="s">
        <v>110</v>
      </c>
    </row>
    <row r="258" spans="52:54">
      <c r="AZ258" t="s">
        <v>12</v>
      </c>
      <c r="BA258" t="s">
        <v>110</v>
      </c>
      <c r="BB258" t="s">
        <v>110</v>
      </c>
    </row>
    <row r="259" spans="52:54">
      <c r="AZ259" t="s">
        <v>12</v>
      </c>
      <c r="BA259" t="s">
        <v>110</v>
      </c>
      <c r="BB259" t="s">
        <v>110</v>
      </c>
    </row>
    <row r="260" spans="52:54">
      <c r="AZ260" t="s">
        <v>12</v>
      </c>
      <c r="BA260" t="s">
        <v>110</v>
      </c>
      <c r="BB260" t="s">
        <v>110</v>
      </c>
    </row>
    <row r="261" spans="52:54">
      <c r="AZ261" t="s">
        <v>12</v>
      </c>
      <c r="BA261" t="s">
        <v>110</v>
      </c>
      <c r="BB261" t="s">
        <v>110</v>
      </c>
    </row>
    <row r="262" spans="52:54">
      <c r="AZ262" t="s">
        <v>12</v>
      </c>
      <c r="BA262" t="s">
        <v>110</v>
      </c>
      <c r="BB262" t="s">
        <v>110</v>
      </c>
    </row>
    <row r="263" spans="52:54">
      <c r="AZ263" t="s">
        <v>12</v>
      </c>
      <c r="BA263" t="s">
        <v>110</v>
      </c>
      <c r="BB263" t="s">
        <v>110</v>
      </c>
    </row>
    <row r="264" spans="52:54">
      <c r="AZ264" t="s">
        <v>12</v>
      </c>
      <c r="BA264" t="s">
        <v>110</v>
      </c>
      <c r="BB264" t="s">
        <v>110</v>
      </c>
    </row>
    <row r="265" spans="52:54">
      <c r="AZ265" t="s">
        <v>12</v>
      </c>
      <c r="BA265" t="s">
        <v>110</v>
      </c>
      <c r="BB265" t="s">
        <v>110</v>
      </c>
    </row>
    <row r="266" spans="52:54">
      <c r="AZ266" t="s">
        <v>12</v>
      </c>
      <c r="BA266" t="s">
        <v>110</v>
      </c>
      <c r="BB266" t="s">
        <v>139</v>
      </c>
    </row>
    <row r="267" spans="52:54">
      <c r="AZ267" t="s">
        <v>12</v>
      </c>
      <c r="BA267" t="s">
        <v>110</v>
      </c>
      <c r="BB267" t="s">
        <v>110</v>
      </c>
    </row>
    <row r="268" spans="52:54">
      <c r="AZ268" t="s">
        <v>12</v>
      </c>
      <c r="BA268" t="s">
        <v>110</v>
      </c>
      <c r="BB268" t="s">
        <v>110</v>
      </c>
    </row>
    <row r="269" spans="52:54">
      <c r="AZ269" t="s">
        <v>12</v>
      </c>
      <c r="BA269" t="s">
        <v>110</v>
      </c>
      <c r="BB269" t="s">
        <v>110</v>
      </c>
    </row>
    <row r="270" spans="52:54">
      <c r="AZ270" t="s">
        <v>12</v>
      </c>
      <c r="BA270" t="s">
        <v>115</v>
      </c>
      <c r="BB270" t="s">
        <v>140</v>
      </c>
    </row>
    <row r="271" spans="52:54">
      <c r="AZ271" t="s">
        <v>12</v>
      </c>
      <c r="BA271" t="s">
        <v>110</v>
      </c>
      <c r="BB271" t="s">
        <v>110</v>
      </c>
    </row>
    <row r="272" spans="52:54">
      <c r="AZ272" t="s">
        <v>12</v>
      </c>
      <c r="BA272" t="s">
        <v>110</v>
      </c>
      <c r="BB272" t="s">
        <v>110</v>
      </c>
    </row>
    <row r="273" spans="52:54">
      <c r="AZ273" t="s">
        <v>12</v>
      </c>
      <c r="BA273" t="s">
        <v>110</v>
      </c>
      <c r="BB273" t="s">
        <v>110</v>
      </c>
    </row>
    <row r="274" spans="52:54">
      <c r="AZ274" t="s">
        <v>12</v>
      </c>
      <c r="BA274" t="s">
        <v>110</v>
      </c>
      <c r="BB274" t="s">
        <v>110</v>
      </c>
    </row>
    <row r="275" spans="52:54">
      <c r="AZ275" t="s">
        <v>12</v>
      </c>
      <c r="BA275" t="s">
        <v>110</v>
      </c>
      <c r="BB275" t="s">
        <v>110</v>
      </c>
    </row>
    <row r="276" spans="52:54">
      <c r="AZ276" t="s">
        <v>12</v>
      </c>
      <c r="BA276" t="s">
        <v>110</v>
      </c>
      <c r="BB276" t="s">
        <v>110</v>
      </c>
    </row>
    <row r="277" spans="52:54">
      <c r="AZ277" t="s">
        <v>12</v>
      </c>
      <c r="BA277" t="s">
        <v>110</v>
      </c>
      <c r="BB277" t="s">
        <v>110</v>
      </c>
    </row>
    <row r="278" spans="52:54">
      <c r="AZ278" t="s">
        <v>12</v>
      </c>
      <c r="BA278" t="s">
        <v>115</v>
      </c>
      <c r="BB278" t="s">
        <v>141</v>
      </c>
    </row>
    <row r="279" spans="52:54">
      <c r="AZ279" t="s">
        <v>12</v>
      </c>
      <c r="BA279" t="s">
        <v>110</v>
      </c>
      <c r="BB279" t="s">
        <v>110</v>
      </c>
    </row>
    <row r="280" spans="52:54">
      <c r="AZ280" t="s">
        <v>12</v>
      </c>
      <c r="BA280" t="s">
        <v>110</v>
      </c>
      <c r="BB280" t="s">
        <v>110</v>
      </c>
    </row>
    <row r="281" spans="52:54">
      <c r="AZ281" t="s">
        <v>12</v>
      </c>
      <c r="BA281" t="s">
        <v>110</v>
      </c>
      <c r="BB281" t="s">
        <v>110</v>
      </c>
    </row>
    <row r="282" spans="52:54">
      <c r="AZ282" t="s">
        <v>12</v>
      </c>
      <c r="BA282" t="s">
        <v>110</v>
      </c>
      <c r="BB282" t="s">
        <v>110</v>
      </c>
    </row>
    <row r="283" spans="52:54">
      <c r="AZ283" t="s">
        <v>12</v>
      </c>
      <c r="BA283" t="s">
        <v>110</v>
      </c>
      <c r="BB283" t="s">
        <v>110</v>
      </c>
    </row>
    <row r="284" spans="52:54">
      <c r="AZ284" t="s">
        <v>12</v>
      </c>
      <c r="BA284" t="s">
        <v>110</v>
      </c>
      <c r="BB284" t="s">
        <v>110</v>
      </c>
    </row>
    <row r="285" spans="52:54">
      <c r="AZ285" t="s">
        <v>12</v>
      </c>
      <c r="BA285" t="s">
        <v>110</v>
      </c>
      <c r="BB285" t="s">
        <v>110</v>
      </c>
    </row>
    <row r="286" spans="52:54">
      <c r="AZ286" t="s">
        <v>12</v>
      </c>
      <c r="BA286" t="s">
        <v>110</v>
      </c>
      <c r="BB286" t="s">
        <v>110</v>
      </c>
    </row>
    <row r="287" spans="52:54">
      <c r="AZ287" t="s">
        <v>12</v>
      </c>
      <c r="BA287" t="s">
        <v>110</v>
      </c>
      <c r="BB287" t="s">
        <v>110</v>
      </c>
    </row>
    <row r="288" spans="52:54">
      <c r="AZ288" t="s">
        <v>12</v>
      </c>
      <c r="BA288" t="s">
        <v>110</v>
      </c>
      <c r="BB288" t="s">
        <v>110</v>
      </c>
    </row>
    <row r="289" spans="52:54">
      <c r="AZ289" t="s">
        <v>12</v>
      </c>
      <c r="BA289" t="s">
        <v>110</v>
      </c>
      <c r="BB289" t="s">
        <v>110</v>
      </c>
    </row>
    <row r="290" spans="52:54">
      <c r="AZ290" t="s">
        <v>12</v>
      </c>
      <c r="BA290" t="s">
        <v>110</v>
      </c>
      <c r="BB290" t="s">
        <v>110</v>
      </c>
    </row>
    <row r="291" spans="52:54">
      <c r="AZ291" t="s">
        <v>12</v>
      </c>
      <c r="BA291" t="s">
        <v>110</v>
      </c>
      <c r="BB291" t="s">
        <v>110</v>
      </c>
    </row>
    <row r="292" spans="52:54">
      <c r="AZ292" t="s">
        <v>12</v>
      </c>
      <c r="BA292" t="s">
        <v>110</v>
      </c>
      <c r="BB292" t="s">
        <v>110</v>
      </c>
    </row>
    <row r="293" spans="52:54">
      <c r="AZ293" t="s">
        <v>12</v>
      </c>
      <c r="BA293" t="s">
        <v>110</v>
      </c>
      <c r="BB293" t="s">
        <v>110</v>
      </c>
    </row>
    <row r="294" spans="52:54">
      <c r="AZ294" t="s">
        <v>12</v>
      </c>
      <c r="BA294" t="s">
        <v>110</v>
      </c>
      <c r="BB294" t="s">
        <v>110</v>
      </c>
    </row>
    <row r="295" spans="52:54">
      <c r="AZ295" t="s">
        <v>12</v>
      </c>
      <c r="BA295" t="s">
        <v>110</v>
      </c>
      <c r="BB295" t="s">
        <v>142</v>
      </c>
    </row>
    <row r="296" spans="52:54">
      <c r="AZ296" t="s">
        <v>12</v>
      </c>
      <c r="BA296" t="s">
        <v>110</v>
      </c>
      <c r="BB296" t="s">
        <v>143</v>
      </c>
    </row>
    <row r="297" spans="52:54">
      <c r="AZ297" t="s">
        <v>12</v>
      </c>
      <c r="BA297" t="s">
        <v>110</v>
      </c>
      <c r="BB297" t="s">
        <v>110</v>
      </c>
    </row>
    <row r="298" spans="52:54">
      <c r="AZ298" t="s">
        <v>12</v>
      </c>
      <c r="BA298" t="s">
        <v>110</v>
      </c>
      <c r="BB298" t="s">
        <v>110</v>
      </c>
    </row>
    <row r="299" spans="52:54">
      <c r="AZ299" t="s">
        <v>12</v>
      </c>
      <c r="BA299" t="s">
        <v>110</v>
      </c>
      <c r="BB299" t="s">
        <v>110</v>
      </c>
    </row>
  </sheetData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5B8F358A11734881859452CC25A7A5" ma:contentTypeVersion="1" ma:contentTypeDescription="Create a new document." ma:contentTypeScope="" ma:versionID="29f8b349852fef9805615c9bb4ebd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306148d0f7b992e79f2d9b1f249a8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F7D3EB-3D3E-4B5E-9DDC-B14B21C5180B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e0ba82f8-4415-4243-94fa-ed6bb52d7266"/>
    <ds:schemaRef ds:uri="http://purl.org/dc/elements/1.1/"/>
    <ds:schemaRef ds:uri="http://www.w3.org/XML/1998/namespace"/>
    <ds:schemaRef ds:uri="http://purl.org/dc/dcmitype/"/>
    <ds:schemaRef ds:uri="http://schemas.microsoft.com/sharepoint/v3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646ED8-B5C0-4C9C-9DA9-AC13A8732C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4486FC-C441-41E5-9263-D18EC0D15870}"/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Saola</vt:lpstr>
      <vt:lpstr>Sheet1</vt:lpstr>
      <vt:lpstr>ITS</vt:lpstr>
      <vt:lpstr>cutoff</vt:lpstr>
      <vt:lpstr>VGMcut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 Wong</dc:creator>
  <cp:keywords/>
  <dc:description/>
  <cp:lastModifiedBy>GDSCINST</cp:lastModifiedBy>
  <cp:revision/>
  <dcterms:created xsi:type="dcterms:W3CDTF">2016-09-13T02:32:01Z</dcterms:created>
  <dcterms:modified xsi:type="dcterms:W3CDTF">2023-09-03T03:36:26Z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0x010100FA5B8F358A11734881859452CC25A7A5</vt:lpwstr>
  </property>
  <property fmtid="{D5CDD505-2E9C-101B-9397-08002B2CF9AE}" pid="3" name="Order">
    <vt:r8>9300</vt:r8>
  </property>
  <property fmtid="{D5CDD505-2E9C-101B-9397-08002B2CF9AE}" pid="4" name="MSIP_Label_417a5ef8-8625-4b43-8979-e8fc3ba44a98_Enabled">
    <vt:lpwstr>true</vt:lpwstr>
  </property>
  <property fmtid="{D5CDD505-2E9C-101B-9397-08002B2CF9AE}" pid="5" name="MSIP_Label_417a5ef8-8625-4b43-8979-e8fc3ba44a98_SetDate">
    <vt:lpwstr>2023-07-16T01:37:36Z</vt:lpwstr>
  </property>
  <property fmtid="{D5CDD505-2E9C-101B-9397-08002B2CF9AE}" pid="6" name="MSIP_Label_417a5ef8-8625-4b43-8979-e8fc3ba44a98_Method">
    <vt:lpwstr>Standard</vt:lpwstr>
  </property>
  <property fmtid="{D5CDD505-2E9C-101B-9397-08002B2CF9AE}" pid="7" name="MSIP_Label_417a5ef8-8625-4b43-8979-e8fc3ba44a98_Name">
    <vt:lpwstr>Restricted</vt:lpwstr>
  </property>
  <property fmtid="{D5CDD505-2E9C-101B-9397-08002B2CF9AE}" pid="8" name="MSIP_Label_417a5ef8-8625-4b43-8979-e8fc3ba44a98_SiteId">
    <vt:lpwstr>7851b4cc-2c5c-459f-96d9-16731d6b4ca4</vt:lpwstr>
  </property>
  <property fmtid="{D5CDD505-2E9C-101B-9397-08002B2CF9AE}" pid="9" name="MSIP_Label_417a5ef8-8625-4b43-8979-e8fc3ba44a98_ActionId">
    <vt:lpwstr>dafc1ecc-bb56-4717-9cbd-5c9e1b7dc528</vt:lpwstr>
  </property>
  <property fmtid="{D5CDD505-2E9C-101B-9397-08002B2CF9AE}" pid="10" name="MSIP_Label_417a5ef8-8625-4b43-8979-e8fc3ba44a98_ContentBits">
    <vt:lpwstr>0</vt:lpwstr>
  </property>
</Properties>
</file>